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showInkAnnotation="0" codeName="ThisWorkbook" defaultThemeVersion="124226"/>
  <xr:revisionPtr revIDLastSave="0" documentId="8_{369AB108-196D-45D8-B0FF-BF3538A81D21}" xr6:coauthVersionLast="41" xr6:coauthVersionMax="41" xr10:uidLastSave="{00000000-0000-0000-0000-000000000000}"/>
  <bookViews>
    <workbookView xWindow="-120" yWindow="-120" windowWidth="20730" windowHeight="11160" activeTab="4" xr2:uid="{00000000-000D-0000-FFFF-FFFF00000000}"/>
  </bookViews>
  <sheets>
    <sheet name="Inputs " sheetId="1" r:id="rId1"/>
    <sheet name="Outputs" sheetId="2" r:id="rId2"/>
    <sheet name="Machinery" sheetId="10" r:id="rId3"/>
    <sheet name="Productivity" sheetId="16" r:id="rId4"/>
    <sheet name="Emission and Conversion Factors" sheetId="9" r:id="rId5"/>
  </sheets>
  <definedNames>
    <definedName name="AB_prod">Productivity!$L$6</definedName>
    <definedName name="AllPits_Excv_Vol_m3">Outputs!$C$14</definedName>
    <definedName name="Auger_Prod">Productivity!$Q$6</definedName>
    <definedName name="Boring_Emis_Mach">Machinery!$L$18</definedName>
    <definedName name="Box_Jacking">'Emission and Conversion Factors'!$A$33</definedName>
    <definedName name="BoxJ_Emis_Mach">Machinery!$AV$18</definedName>
    <definedName name="BoxJ_prod">Productivity!$L$13</definedName>
    <definedName name="BoxJack_Prod">Productivity!$Q$13</definedName>
    <definedName name="Category1_Emis_perRun">Machinery!$H$18</definedName>
    <definedName name="Category2_Emis_perRun">Machinery!$L$18</definedName>
    <definedName name="Category3_Emis_perRun">Machinery!$P$18</definedName>
    <definedName name="Category4_Emis_perRun">Machinery!$X$18</definedName>
    <definedName name="CIPP_Emis_Mach">Machinery!$P$18</definedName>
    <definedName name="CIPP_prod">Productivity!$L$9</definedName>
    <definedName name="CIPP_Produc">Productivity!$Q$9</definedName>
    <definedName name="Cured_in_Place_Pipe_Lining__CIPP">'Emission and Conversion Factors'!$A$29</definedName>
    <definedName name="DeWater_Emis_PerHr">Machinery!$D$17</definedName>
    <definedName name="Diesel_Emis_Factor">'Emission and Conversion Factors'!$E$3</definedName>
    <definedName name="Diesel_Truck_Emis_Factor">'Emission and Conversion Factors'!$E$4</definedName>
    <definedName name="Dry_Soil">'Emission and Conversion Factors'!$D$22</definedName>
    <definedName name="EnP_Depth">'Inputs '!$O$20</definedName>
    <definedName name="EnP_Length">'Inputs '!$M$20</definedName>
    <definedName name="EnP_Lengths">'Inputs '!$P$20</definedName>
    <definedName name="EnP_Width">'Inputs '!$N$20</definedName>
    <definedName name="ExP_Depth">'Inputs '!$O$21</definedName>
    <definedName name="ExP_Length">'Inputs '!$M$20</definedName>
    <definedName name="ExP_Lengths">'Inputs '!$P$21</definedName>
    <definedName name="ExP_Width">'Inputs '!$N$21</definedName>
    <definedName name="ExPit_Length">'Inputs '!$M$21</definedName>
    <definedName name="FuelPerHpHR">'Emission and Conversion Factors'!$C$6</definedName>
    <definedName name="FuelPerHpHR2">'Emission and Conversion Factors'!$C$7</definedName>
    <definedName name="Guided_Boring_System">'Emission and Conversion Factors'!$A$28</definedName>
    <definedName name="Haul_Distance">'Inputs '!$J$13</definedName>
    <definedName name="Hauling_Distance_km">'Inputs '!$C$13</definedName>
    <definedName name="HDD_Emis_Mach">Machinery!$T$18</definedName>
    <definedName name="HDD_PROduc">Productivity!$Q$4</definedName>
    <definedName name="Horizontal_Auger_Boring">'Emission and Conversion Factors'!$A$27</definedName>
    <definedName name="Horizontal_Directional_Drilling__HDD">'Emission and Conversion Factors'!$A$30</definedName>
    <definedName name="IM_Emis_Mach">Machinery!$AF$18</definedName>
    <definedName name="IM_prod">Productivity!$L$8</definedName>
    <definedName name="Impact_Mole">'Emission and Conversion Factors'!$A$24</definedName>
    <definedName name="ImpactM_Prod">Productivity!$Q$8</definedName>
    <definedName name="Jacking_Prod">Productivity!$Q$3</definedName>
    <definedName name="KgPerLitre_Diesel">'Emission and Conversion Factors'!$F$8</definedName>
    <definedName name="KwPerHP">'Emission and Conversion Factors'!$F$6</definedName>
    <definedName name="LC_Depth">'Inputs '!$R$18</definedName>
    <definedName name="LC_Excv_Vol">Outputs!$C$15</definedName>
    <definedName name="LC_Length">'Inputs '!$P$18</definedName>
    <definedName name="LC_Length_Far">'Inputs '!$P$19</definedName>
    <definedName name="LC_Length_FarSide">'Inputs '!$G$17</definedName>
    <definedName name="LC_Width">'Inputs '!$Q$18</definedName>
    <definedName name="Light_Soil">'Emission and Conversion Factors'!$E$22:$E$26</definedName>
    <definedName name="LitrePerKg_Diesel">'Emission and Conversion Factors'!$F$9</definedName>
    <definedName name="Mach_Excv_Emis_PerHr">Machinery!$D$19</definedName>
    <definedName name="meters_length_per_8hr_day">Outputs!$C$7</definedName>
    <definedName name="Micro_Prod">Productivity!$Q$5</definedName>
    <definedName name="Micro_Tunneling">'Emission and Conversion Factors'!$A$32</definedName>
    <definedName name="MT_Emis_Mach">Machinery!$AN$18</definedName>
    <definedName name="MT_prod">Productivity!$L$5</definedName>
    <definedName name="No_EntryPits">'Inputs '!$L$20</definedName>
    <definedName name="No_ExitPits">'Inputs '!$L$21</definedName>
    <definedName name="No_Lateral_Connections">'Inputs '!$C$16</definedName>
    <definedName name="No_Lateral_Connections_Far_Side">'Inputs '!$C$17</definedName>
    <definedName name="No_Manholes">'Inputs '!$O$17</definedName>
    <definedName name="No_Runs">'Inputs '!$L$22</definedName>
    <definedName name="No_Service_pits_manholes">'Inputs '!$C$15</definedName>
    <definedName name="OC_CrossSection_ADJ">Outputs!$C$4</definedName>
    <definedName name="OC_CrossSection_m2">Outputs!$C$3</definedName>
    <definedName name="OC_Excv_Time_hrs">Outputs!$C$8</definedName>
    <definedName name="OC_Excv_Vol_m3">Outputs!$C$5</definedName>
    <definedName name="OC_Haul_Emis">Outputs!$C$10</definedName>
    <definedName name="OC_Mach_Emis">Outputs!$C$9</definedName>
    <definedName name="OC_No_ReturnTrips">Outputs!$C$6</definedName>
    <definedName name="OC_No_TRIPS">Outputs!$C$6</definedName>
    <definedName name="OC_Produc_mPer10Hr">Outputs!$C$7</definedName>
    <definedName name="OC_Total_Emis">Outputs!$C$11</definedName>
    <definedName name="Open_cut_no._of_trips">Outputs!$A$6</definedName>
    <definedName name="OpenCut_No_Trips">Outputs!$C$6</definedName>
    <definedName name="PB_Emis_Mach">Machinery!$H$18</definedName>
    <definedName name="PB_Mach_emis">Machinery!$H$18</definedName>
    <definedName name="pb_Mach_Emission">Machinery!$H$18</definedName>
    <definedName name="PB_Machi_Emis">Machinery!$H$18</definedName>
    <definedName name="PB_prod">Productivity!$L$11</definedName>
    <definedName name="Pburst_Mach_Emis">Machinery!$H$18</definedName>
    <definedName name="PBurst_Prod">Productivity!$Q$11</definedName>
    <definedName name="Pipe_Bursting">'Emission and Conversion Factors'!$A$22</definedName>
    <definedName name="Pipe_Diameter_Drop_down">Outputs!$I$35:$I$37</definedName>
    <definedName name="Pipe_Diameter_m">'Inputs '!$J$7</definedName>
    <definedName name="Pipe_Jacking">'Emission and Conversion Factors'!$A$26</definedName>
    <definedName name="Pipe_Length">'Inputs '!$J$8</definedName>
    <definedName name="Pipe_Ramming">'Emission and Conversion Factors'!$A$25</definedName>
    <definedName name="PJ_Emis_Mach">Machinery!$AB$18</definedName>
    <definedName name="PR_Emis_Mach">Machinery!$AR$18</definedName>
    <definedName name="PR_prod">Productivity!$L$7</definedName>
    <definedName name="Prcntg_Soil_reused">'Inputs '!$J$11</definedName>
    <definedName name="_xlnm.Print_Area" localSheetId="0">'Inputs '!$A$1:$I$25</definedName>
    <definedName name="Productivity_mPer10HrDay">'Inputs '!$F$24</definedName>
    <definedName name="Ram_Prod">Productivity!$Q$7</definedName>
    <definedName name="SL_prod">Productivity!$L$12</definedName>
    <definedName name="Slip_Lining">'Emission and Conversion Factors'!$A$23</definedName>
    <definedName name="SlipL_Emis_Mach">Machinery!$X$18</definedName>
    <definedName name="SlipL_prod">Productivity!$L$10</definedName>
    <definedName name="SlipLin_Prod">Productivity!$Q$10</definedName>
    <definedName name="Soil_Type">'Emission and Conversion Factors'!$E$22:$E$26</definedName>
    <definedName name="Soil_Type_dropdown">'Inputs '!$C$3</definedName>
    <definedName name="SP_Depth">'Inputs '!$R$17</definedName>
    <definedName name="SP_Length">'Inputs '!$P$17</definedName>
    <definedName name="SP_Width">'Inputs '!$Q$17</definedName>
    <definedName name="Surface_conditions">'Emission and Conversion Factors'!$D$22:$D$23</definedName>
    <definedName name="Surface_Conditions_Dropdown">'Inputs '!$C$4</definedName>
    <definedName name="Swage_Emis_Mach">Machinery!$AJ$18</definedName>
    <definedName name="Swage_prod">Productivity!$L$12</definedName>
    <definedName name="SwageLin_Prod">Productivity!$Q$12</definedName>
    <definedName name="SwageLining">'Emission and Conversion Factors'!$A$31</definedName>
    <definedName name="SwL_prod">Productivity!$L$12</definedName>
    <definedName name="Total_TT_Length">'Inputs '!$M$22</definedName>
    <definedName name="TR_Excv_Time_hrs">Outputs!$C$20</definedName>
    <definedName name="TR_Excv_Vol">Outputs!$C$16</definedName>
    <definedName name="TR_Haul_Emis">Outputs!$C$22</definedName>
    <definedName name="TR_Mach_Emis">Outputs!$C$21</definedName>
    <definedName name="TR_No_Return_Trips">Outputs!$C$18</definedName>
    <definedName name="TR_No_Trips">Outputs!$C$18</definedName>
    <definedName name="Trench_Depth">'Inputs '!$J$9</definedName>
    <definedName name="trench_width_low">'Inputs '!$F$23</definedName>
    <definedName name="trench_width_up">'Inputs '!$F$22</definedName>
    <definedName name="Trenchless_duration_days">'Inputs '!#REF!</definedName>
    <definedName name="Trenchless_Tech">'Inputs '!$C$2</definedName>
    <definedName name="TrenchlessTechnology">Outputs!$B$13</definedName>
    <definedName name="Truck_Capacity_m3">'Inputs '!$J$12</definedName>
    <definedName name="Truck15T_FE_Empty">'Emission and Conversion Factors'!$B$14</definedName>
    <definedName name="Truck15T_FE_Full">'Emission and Conversion Factors'!$C$14</definedName>
    <definedName name="Truck15T_Vol">'Emission and Conversion Factors'!$G$14</definedName>
    <definedName name="Truck35T_FE_Empty">'Emission and Conversion Factors'!$B$15</definedName>
    <definedName name="Truck35T_FE_Full">'Emission and Conversion Factors'!$C$15</definedName>
    <definedName name="Truck35T_Vol">'Emission and Conversion Factors'!$G$15</definedName>
    <definedName name="TT_EXCV_CrossSection">Outputs!$C$17</definedName>
    <definedName name="TT_EXCV_m_Length_per_8hrDay">Outputs!$C$19</definedName>
    <definedName name="User_Prodctivity_m_per_8hr_day">'Inputs '!$C$24</definedName>
    <definedName name="User_Productivity_m_per_10hr_day">'Inputs '!$C$24</definedName>
    <definedName name="User_Productivity_m_per_8hr_day">'Inputs '!$C$24</definedName>
    <definedName name="User_productivity_per8hrday">'Inputs '!$C$24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2" l="1"/>
  <c r="AN12" i="10"/>
  <c r="F1" i="1" l="1"/>
  <c r="C4" i="10"/>
  <c r="C3" i="10"/>
  <c r="P19" i="1" l="1"/>
  <c r="K15" i="1"/>
  <c r="K16" i="1"/>
  <c r="H18" i="1" l="1"/>
  <c r="J9" i="1"/>
  <c r="H15" i="1"/>
  <c r="P17" i="1" s="1"/>
  <c r="P20" i="1" l="1"/>
  <c r="M20" i="1"/>
  <c r="N16" i="1"/>
  <c r="N15" i="1"/>
  <c r="N19" i="1"/>
  <c r="N18" i="1"/>
  <c r="J7" i="1"/>
  <c r="D23" i="1" l="1"/>
  <c r="D22" i="1"/>
  <c r="D9" i="1"/>
  <c r="J11" i="1"/>
  <c r="D43" i="10" l="1"/>
  <c r="F9" i="10" s="1"/>
  <c r="E20" i="16" l="1"/>
  <c r="E19" i="16"/>
  <c r="E18" i="16"/>
  <c r="F20" i="16"/>
  <c r="F19" i="16"/>
  <c r="F18" i="16"/>
  <c r="O17" i="1" l="1"/>
  <c r="D18" i="1" l="1"/>
  <c r="D19" i="1" l="1"/>
  <c r="L20" i="1"/>
  <c r="H16" i="1"/>
  <c r="R23" i="10" l="1"/>
  <c r="R24" i="10"/>
  <c r="R25" i="10"/>
  <c r="R26" i="10"/>
  <c r="R29" i="10"/>
  <c r="R30" i="10"/>
  <c r="R31" i="10"/>
  <c r="R22" i="10"/>
  <c r="Q24" i="10"/>
  <c r="Q25" i="10"/>
  <c r="Q26" i="10"/>
  <c r="Q27" i="10"/>
  <c r="Q28" i="10"/>
  <c r="Q29" i="10"/>
  <c r="Q30" i="10"/>
  <c r="Q31" i="10"/>
  <c r="Q23" i="10"/>
  <c r="Q18" i="1"/>
  <c r="P18" i="1"/>
  <c r="J13" i="1"/>
  <c r="J12" i="1"/>
  <c r="J8" i="1"/>
  <c r="Q22" i="10"/>
  <c r="P23" i="10"/>
  <c r="P27" i="10"/>
  <c r="P28" i="10"/>
  <c r="P29" i="10"/>
  <c r="P30" i="10"/>
  <c r="P31" i="10"/>
  <c r="P22" i="10"/>
  <c r="D15" i="1" l="1"/>
  <c r="D20" i="1"/>
  <c r="S30" i="10"/>
  <c r="O13" i="10"/>
  <c r="U29" i="10" l="1"/>
  <c r="F8" i="10"/>
  <c r="J9" i="10"/>
  <c r="R28" i="10" s="1"/>
  <c r="K18" i="1"/>
  <c r="H19" i="1"/>
  <c r="L14" i="16"/>
  <c r="L6" i="16"/>
  <c r="L13" i="16"/>
  <c r="L7" i="16"/>
  <c r="L5" i="16"/>
  <c r="L3" i="16"/>
  <c r="M21" i="1" l="1"/>
  <c r="P21" i="1"/>
  <c r="Q17" i="1"/>
  <c r="Q9" i="16"/>
  <c r="O14" i="10"/>
  <c r="L24" i="1" l="1"/>
  <c r="AT9" i="10" l="1"/>
  <c r="AP9" i="10"/>
  <c r="L11" i="16" l="1"/>
  <c r="Q11" i="16" s="1"/>
  <c r="N7" i="10" l="1"/>
  <c r="C7" i="10"/>
  <c r="P26" i="10" s="1"/>
  <c r="AD8" i="10"/>
  <c r="J8" i="10"/>
  <c r="R27" i="10" s="1"/>
  <c r="C6" i="10"/>
  <c r="P25" i="10" s="1"/>
  <c r="Z9" i="10"/>
  <c r="V9" i="10"/>
  <c r="N9" i="10"/>
  <c r="AD9" i="10"/>
  <c r="C5" i="10"/>
  <c r="P24" i="10" s="1"/>
  <c r="P33" i="10" l="1"/>
  <c r="Q33" i="10"/>
  <c r="R33" i="10"/>
  <c r="S33" i="10"/>
  <c r="T33" i="10"/>
  <c r="U33" i="10"/>
  <c r="P34" i="10"/>
  <c r="Q34" i="10"/>
  <c r="R34" i="10"/>
  <c r="S34" i="10"/>
  <c r="T34" i="10"/>
  <c r="U34" i="10"/>
  <c r="Q3" i="16" l="1"/>
  <c r="S25" i="10"/>
  <c r="AA30" i="10"/>
  <c r="AA29" i="10"/>
  <c r="AA31" i="10"/>
  <c r="AA32" i="10"/>
  <c r="AA33" i="10"/>
  <c r="AA34" i="10"/>
  <c r="AA22" i="10"/>
  <c r="AA23" i="10"/>
  <c r="AA24" i="10"/>
  <c r="AA25" i="10"/>
  <c r="AA26" i="10"/>
  <c r="AA27" i="10"/>
  <c r="AA28" i="10"/>
  <c r="Z33" i="10"/>
  <c r="Z34" i="10"/>
  <c r="Z22" i="10"/>
  <c r="Z23" i="10"/>
  <c r="Z24" i="10"/>
  <c r="Z25" i="10"/>
  <c r="Z26" i="10"/>
  <c r="Z27" i="10"/>
  <c r="Z28" i="10"/>
  <c r="Z29" i="10"/>
  <c r="Z30" i="10"/>
  <c r="Z31" i="10"/>
  <c r="Z32" i="10"/>
  <c r="V29" i="10"/>
  <c r="W29" i="10"/>
  <c r="Y32" i="10"/>
  <c r="Y33" i="10"/>
  <c r="Y34" i="10"/>
  <c r="Y22" i="10"/>
  <c r="Y23" i="10"/>
  <c r="Y24" i="10"/>
  <c r="Y25" i="10"/>
  <c r="Y26" i="10"/>
  <c r="Y27" i="10"/>
  <c r="Y28" i="10"/>
  <c r="Y29" i="10"/>
  <c r="Y30" i="10"/>
  <c r="X29" i="10"/>
  <c r="X30" i="10"/>
  <c r="X32" i="10"/>
  <c r="X33" i="10"/>
  <c r="X34" i="10"/>
  <c r="X22" i="10"/>
  <c r="X23" i="10"/>
  <c r="X24" i="10"/>
  <c r="X25" i="10"/>
  <c r="X26" i="10"/>
  <c r="X27" i="10"/>
  <c r="X28" i="10"/>
  <c r="W22" i="10"/>
  <c r="W23" i="10"/>
  <c r="W24" i="10"/>
  <c r="W25" i="10"/>
  <c r="W26" i="10"/>
  <c r="W30" i="10"/>
  <c r="W31" i="10"/>
  <c r="W32" i="10"/>
  <c r="W33" i="10"/>
  <c r="W34" i="10"/>
  <c r="W27" i="10"/>
  <c r="W28" i="10"/>
  <c r="V28" i="10"/>
  <c r="Q13" i="16"/>
  <c r="Q12" i="16"/>
  <c r="Q10" i="16"/>
  <c r="Q8" i="16"/>
  <c r="Q7" i="16"/>
  <c r="Q6" i="16"/>
  <c r="K8" i="10" s="1"/>
  <c r="Q5" i="16"/>
  <c r="AM12" i="10" s="1"/>
  <c r="V23" i="10" l="1"/>
  <c r="V24" i="10"/>
  <c r="V25" i="10"/>
  <c r="V26" i="10"/>
  <c r="V27" i="10"/>
  <c r="V30" i="10"/>
  <c r="V31" i="10"/>
  <c r="V32" i="10"/>
  <c r="V33" i="10"/>
  <c r="V34" i="10"/>
  <c r="V22" i="10"/>
  <c r="U23" i="10"/>
  <c r="U24" i="10"/>
  <c r="U25" i="10"/>
  <c r="U26" i="10"/>
  <c r="U27" i="10"/>
  <c r="U28" i="10"/>
  <c r="U30" i="10"/>
  <c r="U31" i="10"/>
  <c r="U32" i="10"/>
  <c r="U22" i="10"/>
  <c r="T22" i="10"/>
  <c r="B13" i="2" l="1"/>
  <c r="G15" i="9" l="1"/>
  <c r="AA9" i="10" l="1"/>
  <c r="AU10" i="10"/>
  <c r="AQ10" i="10"/>
  <c r="AE9" i="10"/>
  <c r="W9" i="10"/>
  <c r="AU11" i="10"/>
  <c r="AQ11" i="10"/>
  <c r="AE10" i="10"/>
  <c r="K9" i="10"/>
  <c r="AU9" i="10"/>
  <c r="AE8" i="10"/>
  <c r="W10" i="10"/>
  <c r="K10" i="10"/>
  <c r="AQ9" i="10"/>
  <c r="AI12" i="10"/>
  <c r="W11" i="10"/>
  <c r="L21" i="1" l="1"/>
  <c r="M22" i="1" s="1"/>
  <c r="L22" i="1"/>
  <c r="G10" i="10" l="1"/>
  <c r="G9" i="10"/>
  <c r="G4" i="10"/>
  <c r="G8" i="10"/>
  <c r="O7" i="10"/>
  <c r="O11" i="10"/>
  <c r="O9" i="10"/>
  <c r="L4" i="16" l="1"/>
  <c r="Q4" i="16" s="1"/>
  <c r="AL12" i="10"/>
  <c r="Y31" i="10" s="1"/>
  <c r="D10" i="1"/>
  <c r="F22" i="1"/>
  <c r="F23" i="1"/>
  <c r="R12" i="10"/>
  <c r="T31" i="10" s="1"/>
  <c r="AH12" i="10"/>
  <c r="X31" i="10" s="1"/>
  <c r="D18" i="16" l="1"/>
  <c r="D20" i="16"/>
  <c r="C18" i="16"/>
  <c r="C19" i="16"/>
  <c r="B20" i="16"/>
  <c r="C20" i="16"/>
  <c r="B18" i="16"/>
  <c r="B19" i="16"/>
  <c r="D19" i="16"/>
  <c r="R18" i="1"/>
  <c r="C15" i="2" s="1"/>
  <c r="S12" i="10"/>
  <c r="F12" i="1"/>
  <c r="AA10" i="10"/>
  <c r="AA11" i="10"/>
  <c r="R17" i="1" l="1"/>
  <c r="T23" i="10"/>
  <c r="T24" i="10"/>
  <c r="T25" i="10"/>
  <c r="T26" i="10"/>
  <c r="T27" i="10"/>
  <c r="T28" i="10"/>
  <c r="T29" i="10"/>
  <c r="T30" i="10"/>
  <c r="T32" i="10"/>
  <c r="S23" i="10"/>
  <c r="S24" i="10"/>
  <c r="S26" i="10"/>
  <c r="S27" i="10"/>
  <c r="S28" i="10"/>
  <c r="S29" i="10"/>
  <c r="S31" i="10"/>
  <c r="S32" i="10"/>
  <c r="S22" i="10"/>
  <c r="R32" i="10"/>
  <c r="Q32" i="10"/>
  <c r="P32" i="10"/>
  <c r="F9" i="9" l="1"/>
  <c r="C9" i="9"/>
  <c r="C8" i="9"/>
  <c r="C7" i="9"/>
  <c r="C6" i="9"/>
  <c r="C5" i="9"/>
  <c r="C4" i="9"/>
  <c r="C3" i="9"/>
  <c r="C2" i="9"/>
  <c r="D6" i="10" l="1"/>
  <c r="D3" i="10"/>
  <c r="H9" i="10"/>
  <c r="H8" i="10"/>
  <c r="P14" i="10"/>
  <c r="P13" i="10"/>
  <c r="H4" i="10"/>
  <c r="X10" i="10"/>
  <c r="L8" i="10"/>
  <c r="AF8" i="10"/>
  <c r="P9" i="10"/>
  <c r="AV10" i="10"/>
  <c r="AR10" i="10"/>
  <c r="AN18" i="10"/>
  <c r="B32" i="9" s="1"/>
  <c r="AF9" i="10"/>
  <c r="AJ12" i="10"/>
  <c r="AJ18" i="10" s="1"/>
  <c r="B31" i="9" s="1"/>
  <c r="T12" i="10"/>
  <c r="T18" i="10" s="1"/>
  <c r="B30" i="9" s="1"/>
  <c r="L9" i="10"/>
  <c r="AR11" i="10"/>
  <c r="AR9" i="10"/>
  <c r="AB9" i="10"/>
  <c r="AF10" i="10"/>
  <c r="AV9" i="10"/>
  <c r="AV11" i="10"/>
  <c r="P7" i="10"/>
  <c r="L10" i="10"/>
  <c r="P11" i="10"/>
  <c r="H10" i="10"/>
  <c r="AB10" i="10"/>
  <c r="AB11" i="10"/>
  <c r="X9" i="10"/>
  <c r="X11" i="10"/>
  <c r="D17" i="10"/>
  <c r="D11" i="10"/>
  <c r="D5" i="10"/>
  <c r="D4" i="10"/>
  <c r="D7" i="10"/>
  <c r="K19" i="1"/>
  <c r="N21" i="1" s="1"/>
  <c r="D19" i="10" l="1"/>
  <c r="H18" i="10"/>
  <c r="P18" i="10"/>
  <c r="B29" i="9" s="1"/>
  <c r="L18" i="10"/>
  <c r="AV18" i="10"/>
  <c r="B33" i="9" s="1"/>
  <c r="AR18" i="10"/>
  <c r="B25" i="9" s="1"/>
  <c r="AF18" i="10"/>
  <c r="B24" i="9" s="1"/>
  <c r="AB18" i="10"/>
  <c r="B26" i="9" s="1"/>
  <c r="X18" i="10"/>
  <c r="B23" i="9" s="1"/>
  <c r="L19" i="10" l="1"/>
  <c r="H19" i="10"/>
  <c r="B22" i="9"/>
  <c r="B28" i="9"/>
  <c r="B27" i="9"/>
  <c r="O21" i="1" l="1"/>
  <c r="O20" i="1" l="1"/>
  <c r="C14" i="2" s="1"/>
  <c r="C5" i="2"/>
  <c r="C6" i="2" l="1"/>
  <c r="C4" i="2"/>
  <c r="C7" i="2" s="1"/>
  <c r="C16" i="2"/>
  <c r="F24" i="1"/>
  <c r="C17" i="2" l="1"/>
  <c r="C19" i="2" s="1"/>
  <c r="C18" i="2"/>
  <c r="C29" i="2"/>
  <c r="C34" i="2" s="1"/>
  <c r="E4" i="1" s="1"/>
  <c r="C10" i="2"/>
  <c r="B48" i="2"/>
  <c r="C8" i="2"/>
  <c r="C9" i="2" s="1"/>
  <c r="D24" i="1"/>
  <c r="X19" i="10"/>
  <c r="T19" i="10"/>
  <c r="AB19" i="10"/>
  <c r="AF19" i="10"/>
  <c r="AJ19" i="10" s="1"/>
  <c r="AN19" i="10" s="1"/>
  <c r="AR19" i="10" s="1"/>
  <c r="AV19" i="10" s="1"/>
  <c r="C11" i="2" l="1"/>
  <c r="B46" i="2" s="1"/>
  <c r="C20" i="2"/>
  <c r="C21" i="2" s="1"/>
  <c r="C22" i="2"/>
  <c r="C48" i="2"/>
  <c r="B47" i="2"/>
  <c r="C30" i="2"/>
  <c r="C35" i="2" s="1"/>
  <c r="E5" i="1" s="1"/>
  <c r="D48" i="2" l="1"/>
  <c r="E48" i="2"/>
  <c r="C23" i="2"/>
  <c r="C26" i="2" s="1"/>
  <c r="C32" i="2" s="1"/>
  <c r="E2" i="1" s="1"/>
  <c r="C28" i="2"/>
  <c r="C33" i="2" s="1"/>
  <c r="E3" i="1" s="1"/>
  <c r="C47" i="2"/>
  <c r="D47" i="2" l="1"/>
  <c r="E47" i="2" s="1"/>
  <c r="C27" i="2"/>
  <c r="C46" i="2"/>
  <c r="D46" i="2" l="1"/>
  <c r="E4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000-000001000000}">
      <text>
        <r>
          <rPr>
            <sz val="9"/>
            <color indexed="81"/>
            <rFont val="Tahoma"/>
            <family val="2"/>
          </rPr>
          <t>select from drop-down menu</t>
        </r>
      </text>
    </comment>
    <comment ref="A3" authorId="0" shapeId="0" xr:uid="{00000000-0006-0000-0000-000002000000}">
      <text>
        <r>
          <rPr>
            <sz val="9"/>
            <color indexed="81"/>
            <rFont val="Tahoma"/>
            <family val="2"/>
          </rPr>
          <t>Select from drop-down menu</t>
        </r>
      </text>
    </comment>
    <comment ref="A4" authorId="0" shapeId="0" xr:uid="{00000000-0006-0000-0000-000003000000}">
      <text>
        <r>
          <rPr>
            <sz val="9"/>
            <color indexed="81"/>
            <rFont val="Tahoma"/>
            <family val="2"/>
          </rPr>
          <t xml:space="preserve">select from drop-down menu, select wet for soils that require continuous dewatering </t>
        </r>
      </text>
    </comment>
    <comment ref="A5" authorId="0" shapeId="0" xr:uid="{00000000-0006-0000-0000-000004000000}">
      <text>
        <r>
          <rPr>
            <sz val="9"/>
            <color indexed="81"/>
            <rFont val="Tahoma"/>
            <family val="2"/>
          </rPr>
          <t>Please input the type of surface that the pipes pass under.</t>
        </r>
      </text>
    </comment>
    <comment ref="D9" authorId="0" shapeId="0" xr:uid="{00000000-0006-0000-0000-000005000000}">
      <text>
        <r>
          <rPr>
            <sz val="9"/>
            <color indexed="81"/>
            <rFont val="Tahoma"/>
            <family val="2"/>
          </rPr>
          <t>Master Municipal Construction Documents - minimum depth is 1m plus D plus D/4 (if larger than 100mm)</t>
        </r>
      </text>
    </comment>
    <comment ref="D11" authorId="0" shapeId="0" xr:uid="{00000000-0006-0000-0000-000006000000}">
      <text>
        <r>
          <rPr>
            <sz val="9"/>
            <color indexed="81"/>
            <rFont val="Tahoma"/>
            <family val="2"/>
          </rPr>
          <t>In urban areas it is common that all of excavated soil has to be replaced by virgin material (0% reused). In remote rural areas mostly all excavated material can be reused (100% reused)</t>
        </r>
      </text>
    </comment>
    <comment ref="D12" authorId="0" shapeId="0" xr:uid="{00000000-0006-0000-0000-000007000000}">
      <text>
        <r>
          <rPr>
            <b/>
            <sz val="9"/>
            <color indexed="81"/>
            <rFont val="Tahoma"/>
            <charset val="1"/>
          </rPr>
          <t>Author:</t>
        </r>
        <r>
          <rPr>
            <sz val="9"/>
            <color indexed="81"/>
            <rFont val="Tahoma"/>
            <charset val="1"/>
          </rPr>
          <t xml:space="preserve">
Reference: 1. Bauer C., Dubetz C., Freeman D., Grainger M., Millen T., 1998, An Environmental Review of Hot In-Place Recycling in British Columbia, Major Projects Final Report, Royal Roads University August 1998</t>
        </r>
      </text>
    </comment>
    <comment ref="C13" authorId="0" shapeId="0" xr:uid="{00000000-0006-0000-0000-000008000000}">
      <text>
        <r>
          <rPr>
            <sz val="9"/>
            <color indexed="81"/>
            <rFont val="Tahoma"/>
            <family val="2"/>
          </rPr>
          <t>If both the distance to dump site and the distance to the gravel pit is available input the mean value.</t>
        </r>
      </text>
    </comment>
    <comment ref="D15" authorId="0" shapeId="0" xr:uid="{00000000-0006-0000-0000-000009000000}">
      <text>
        <r>
          <rPr>
            <sz val="9"/>
            <color indexed="81"/>
            <rFont val="Tahoma"/>
            <family val="2"/>
          </rPr>
          <t>default value assumes a manhole at start and end and one at every 100m</t>
        </r>
      </text>
    </comment>
    <comment ref="H15" authorId="0" shapeId="0" xr:uid="{00000000-0006-0000-0000-00000A000000}">
      <text>
        <r>
          <rPr>
            <sz val="9"/>
            <color indexed="81"/>
            <rFont val="Tahoma"/>
            <family val="2"/>
          </rPr>
          <t>Default 7 feet
Pits usually have sloped walls. Using just the upper width for the trenchless pits over estimates the soil volume hauled hence conservatively under estimates the emissions savings</t>
        </r>
      </text>
    </comment>
    <comment ref="K15" authorId="0" shapeId="0" xr:uid="{00000000-0006-0000-0000-00000B000000}">
      <text>
        <r>
          <rPr>
            <b/>
            <sz val="9"/>
            <color indexed="81"/>
            <rFont val="Tahoma"/>
            <charset val="1"/>
          </rPr>
          <t>Author:</t>
        </r>
        <r>
          <rPr>
            <sz val="9"/>
            <color indexed="81"/>
            <rFont val="Tahoma"/>
            <charset val="1"/>
          </rPr>
          <t xml:space="preserve">
7 feet</t>
        </r>
      </text>
    </comment>
    <comment ref="N15" authorId="0" shapeId="0" xr:uid="{00000000-0006-0000-0000-00000C000000}">
      <text>
        <r>
          <rPr>
            <b/>
            <sz val="9"/>
            <color indexed="81"/>
            <rFont val="Tahoma"/>
            <charset val="1"/>
          </rPr>
          <t>Author:</t>
        </r>
        <r>
          <rPr>
            <sz val="9"/>
            <color indexed="81"/>
            <rFont val="Tahoma"/>
            <charset val="1"/>
          </rPr>
          <t xml:space="preserve">
Same as trench depth</t>
        </r>
      </text>
    </comment>
    <comment ref="A16" authorId="0" shapeId="0" xr:uid="{00000000-0006-0000-0000-00000D000000}">
      <text>
        <r>
          <rPr>
            <sz val="9"/>
            <color indexed="81"/>
            <rFont val="Tahoma"/>
            <family val="2"/>
          </rPr>
          <t>service connections</t>
        </r>
      </text>
    </comment>
    <comment ref="H16" authorId="0" shapeId="0" xr:uid="{00000000-0006-0000-0000-00000E000000}">
      <text>
        <r>
          <rPr>
            <sz val="9"/>
            <color indexed="81"/>
            <rFont val="Tahoma"/>
            <family val="2"/>
          </rPr>
          <t xml:space="preserve">16 feet 
up to property line, assuming service pipes beeing replaced </t>
        </r>
      </text>
    </comment>
    <comment ref="K16" authorId="0" shapeId="0" xr:uid="{00000000-0006-0000-0000-00000F000000}">
      <text>
        <r>
          <rPr>
            <b/>
            <sz val="9"/>
            <color indexed="81"/>
            <rFont val="Tahoma"/>
            <charset val="1"/>
          </rPr>
          <t>Author:</t>
        </r>
        <r>
          <rPr>
            <sz val="9"/>
            <color indexed="81"/>
            <rFont val="Tahoma"/>
            <charset val="1"/>
          </rPr>
          <t xml:space="preserve">
3 feet
</t>
        </r>
      </text>
    </comment>
    <comment ref="N16" authorId="0" shapeId="0" xr:uid="{00000000-0006-0000-0000-000010000000}">
      <text>
        <r>
          <rPr>
            <b/>
            <sz val="9"/>
            <color indexed="81"/>
            <rFont val="Tahoma"/>
            <charset val="1"/>
          </rPr>
          <t>Author:</t>
        </r>
        <r>
          <rPr>
            <sz val="9"/>
            <color indexed="81"/>
            <rFont val="Tahoma"/>
            <charset val="1"/>
          </rPr>
          <t xml:space="preserve">
0.5 meter less than trench depth</t>
        </r>
      </text>
    </comment>
    <comment ref="A17" authorId="0" shapeId="0" xr:uid="{00000000-0006-0000-0000-000011000000}">
      <text>
        <r>
          <rPr>
            <b/>
            <sz val="9"/>
            <color indexed="81"/>
            <rFont val="Tahoma"/>
            <charset val="1"/>
          </rPr>
          <t>Author:</t>
        </r>
        <r>
          <rPr>
            <sz val="9"/>
            <color indexed="81"/>
            <rFont val="Tahoma"/>
            <charset val="1"/>
          </rPr>
          <t xml:space="preserve">
Defaults used by the calculator for length and width are the same as nearside</t>
        </r>
      </text>
    </comment>
    <comment ref="D18" authorId="0" shapeId="0" xr:uid="{00000000-0006-0000-0000-000012000000}">
      <text>
        <r>
          <rPr>
            <sz val="9"/>
            <color indexed="81"/>
            <rFont val="Tahoma"/>
            <family val="2"/>
          </rPr>
          <t>Out of every 3 pits or less one will be an entry pit all others exit pits</t>
        </r>
      </text>
    </comment>
    <comment ref="H18" authorId="0" shapeId="0" xr:uid="{00000000-0006-0000-0000-000013000000}">
      <text>
        <r>
          <rPr>
            <sz val="9"/>
            <color indexed="81"/>
            <rFont val="Tahoma"/>
            <family val="2"/>
          </rPr>
          <t xml:space="preserve">Length of entry pit is 30 feet for boring, pipe ramming, pipe jacking nad directional drilling. The length is 3 feet for Impact mole.
For all other technologies with an entry pit length of entry pit in feet will be 2 times the pipe diameter in Inches. Source: Interview with David O'Sullivan 
</t>
        </r>
      </text>
    </comment>
    <comment ref="K18" authorId="0" shapeId="0" xr:uid="{00000000-0006-0000-0000-000014000000}">
      <text>
        <r>
          <rPr>
            <b/>
            <sz val="9"/>
            <color indexed="81"/>
            <rFont val="Tahoma"/>
            <charset val="1"/>
          </rPr>
          <t>Author:</t>
        </r>
        <r>
          <rPr>
            <sz val="9"/>
            <color indexed="81"/>
            <rFont val="Tahoma"/>
            <charset val="1"/>
          </rPr>
          <t xml:space="preserve">
Width of entry pit is 7 feet for boring, pipe ramming, pipe jacking and directional drilling. The width is 1 foot for Impact mole.
For all other technologies with an entry pit the default width is 6 feet. 
Source: Interview with David O'Sullivan</t>
        </r>
      </text>
    </comment>
    <comment ref="N18" authorId="0" shapeId="0" xr:uid="{00000000-0006-0000-0000-000015000000}">
      <text>
        <r>
          <rPr>
            <b/>
            <sz val="9"/>
            <color indexed="81"/>
            <rFont val="Tahoma"/>
            <charset val="1"/>
          </rPr>
          <t>Author:</t>
        </r>
        <r>
          <rPr>
            <sz val="9"/>
            <color indexed="81"/>
            <rFont val="Tahoma"/>
            <charset val="1"/>
          </rPr>
          <t xml:space="preserve">
Same as trench depth</t>
        </r>
      </text>
    </comment>
    <comment ref="H19" authorId="0" shapeId="0" xr:uid="{00000000-0006-0000-0000-000016000000}">
      <text>
        <r>
          <rPr>
            <sz val="9"/>
            <color indexed="81"/>
            <rFont val="Tahoma"/>
            <family val="2"/>
          </rPr>
          <t>It is assumed that the Exit Pit length is 16 feet and doesn't change with diameter</t>
        </r>
      </text>
    </comment>
    <comment ref="K19" authorId="0" shapeId="0" xr:uid="{00000000-0006-0000-0000-000017000000}">
      <text>
        <r>
          <rPr>
            <b/>
            <sz val="9"/>
            <color indexed="81"/>
            <rFont val="Tahoma"/>
            <charset val="1"/>
          </rPr>
          <t>Author:</t>
        </r>
        <r>
          <rPr>
            <sz val="9"/>
            <color indexed="81"/>
            <rFont val="Tahoma"/>
            <charset val="1"/>
          </rPr>
          <t xml:space="preserve">
6 feet</t>
        </r>
      </text>
    </comment>
    <comment ref="N19" authorId="0" shapeId="0" xr:uid="{00000000-0006-0000-0000-000018000000}">
      <text>
        <r>
          <rPr>
            <b/>
            <sz val="9"/>
            <color indexed="81"/>
            <rFont val="Tahoma"/>
            <charset val="1"/>
          </rPr>
          <t>Author:</t>
        </r>
        <r>
          <rPr>
            <sz val="9"/>
            <color indexed="81"/>
            <rFont val="Tahoma"/>
            <charset val="1"/>
          </rPr>
          <t xml:space="preserve">
Same as trench depth</t>
        </r>
      </text>
    </comment>
    <comment ref="D20" authorId="0" shapeId="0" xr:uid="{00000000-0006-0000-0000-000019000000}">
      <text>
        <r>
          <rPr>
            <sz val="9"/>
            <color indexed="81"/>
            <rFont val="Tahoma"/>
            <family val="2"/>
          </rPr>
          <t>Number of runs will be one less than the number of manholes with the condition that no run will be longer than 160 meters</t>
        </r>
      </text>
    </comment>
    <comment ref="D22" authorId="0" shapeId="0" xr:uid="{00000000-0006-0000-0000-00001A000000}">
      <text>
        <r>
          <rPr>
            <sz val="9"/>
            <color indexed="81"/>
            <rFont val="Tahoma"/>
            <family val="2"/>
          </rPr>
          <t>Master Municipal Construction Documents - max upper width D+1000mm</t>
        </r>
      </text>
    </comment>
    <comment ref="D23" authorId="0" shapeId="0" xr:uid="{00000000-0006-0000-0000-00001B000000}">
      <text>
        <r>
          <rPr>
            <sz val="9"/>
            <color indexed="81"/>
            <rFont val="Tahoma"/>
            <family val="2"/>
          </rPr>
          <t>Master Municipal Construction Documents -  lower width minimum D+450mm, maximum D+600mm</t>
        </r>
      </text>
    </comment>
    <comment ref="A24" authorId="0" shapeId="0" xr:uid="{00000000-0006-0000-0000-00001C000000}">
      <text>
        <r>
          <rPr>
            <sz val="9"/>
            <color indexed="81"/>
            <rFont val="Tahoma"/>
            <family val="2"/>
          </rPr>
          <t>This is the amount or an estimation of the open cut excavation progress (main pipe placed) in meters per each 8 hour day for the conditions of the project</t>
        </r>
      </text>
    </comment>
    <comment ref="D24" authorId="0" shapeId="0" xr:uid="{00000000-0006-0000-0000-00001D000000}">
      <text>
        <r>
          <rPr>
            <sz val="9"/>
            <color indexed="81"/>
            <rFont val="Tahoma"/>
            <family val="2"/>
          </rPr>
          <t>If user does not enter productivity, the tool will calculate productivity based on soil type using man-hour table in "Productivity" 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100-000001000000}">
      <text>
        <r>
          <rPr>
            <b/>
            <sz val="9"/>
            <color indexed="81"/>
            <rFont val="Tahoma"/>
            <charset val="1"/>
          </rPr>
          <t>Author:</t>
        </r>
        <r>
          <rPr>
            <sz val="9"/>
            <color indexed="81"/>
            <rFont val="Tahoma"/>
            <charset val="1"/>
          </rPr>
          <t xml:space="preserve">
Smaller coss section of lateral connections taken into account </t>
        </r>
      </text>
    </comment>
    <comment ref="A5" authorId="0" shapeId="0" xr:uid="{00000000-0006-0000-0100-000002000000}">
      <text>
        <r>
          <rPr>
            <sz val="9"/>
            <color indexed="81"/>
            <rFont val="Tahoma"/>
            <family val="2"/>
          </rPr>
          <t>Trench volume plus Lateral connections. Service pit excavation volumes were assumed to be part of the trench volume and not added.</t>
        </r>
      </text>
    </comment>
    <comment ref="A6" authorId="0" shapeId="0" xr:uid="{00000000-0006-0000-0100-000003000000}">
      <text>
        <r>
          <rPr>
            <sz val="9"/>
            <color indexed="81"/>
            <rFont val="Tahoma"/>
            <family val="2"/>
          </rPr>
          <t xml:space="preserve">The amount of material reused is deducted first then divided by truck capacity. It is assumed that trucks will haul fill material on their return trip however in practice there will be 50% more trips for efficiency reasons as contractors would rather have extra trucks and keep them waiting than delay the crew and also the dumpsite and excavation pit are assumed as two different locations. </t>
        </r>
      </text>
    </comment>
    <comment ref="A7" authorId="0" shapeId="0" xr:uid="{00000000-0006-0000-0100-000004000000}">
      <text>
        <r>
          <rPr>
            <sz val="9"/>
            <color indexed="81"/>
            <rFont val="Tahoma"/>
            <family val="2"/>
          </rPr>
          <t>User input takes priority. If user does not enter productivity data, the tool will calculate productivity using manhour tables based on ground condition.  
0.6 cubic meter excavator bucket assumed 
For excavations deeper than 1.7m 25% is added.
source: Page., John S.,19990.6 m#</t>
        </r>
      </text>
    </comment>
    <comment ref="A8" authorId="0" shapeId="0" xr:uid="{00000000-0006-0000-0100-000005000000}">
      <text>
        <r>
          <rPr>
            <sz val="9"/>
            <color indexed="81"/>
            <rFont val="Tahoma"/>
            <family val="2"/>
          </rPr>
          <t xml:space="preserve">Trench length calculated by dividing the total excavation volume by the adjusted cross section then 
divided by productivity times 8 hours.
30% slower in wet conditions as per interview with David O'Sullivan on 25 June, 2014 at 16:00 Trenchless contractor in BC since 1990 </t>
        </r>
      </text>
    </comment>
    <comment ref="A9" authorId="0" shapeId="0" xr:uid="{00000000-0006-0000-0100-000006000000}">
      <text>
        <r>
          <rPr>
            <sz val="9"/>
            <color indexed="81"/>
            <rFont val="Tahoma"/>
            <family val="2"/>
          </rPr>
          <t xml:space="preserve">Hours of excavation multiplied by excavation per hour machinery emissions. If soil is wet emissions from a 24/7 dewatering pump willl be addded. </t>
        </r>
      </text>
    </comment>
    <comment ref="A10" authorId="0" shapeId="0" xr:uid="{00000000-0006-0000-0100-000007000000}">
      <text>
        <r>
          <rPr>
            <sz val="9"/>
            <color indexed="81"/>
            <rFont val="Tahoma"/>
            <family val="2"/>
          </rPr>
          <t>The no. of return trips is multiplied by 2 and then multiplied by the fuel economy per km times the hauling distance times the diesel emission factor.
If the user input for dump truck capacity is less than 8 m3  the 15 tonne truck's full fuel economy is used. For more than 8 m3 capacity the full fuel economy for a 35 tonne truck is used and an additional 15% is deducted from either fuel economy as a result of calibrating the tool with real world data.</t>
        </r>
      </text>
    </comment>
    <comment ref="A14" authorId="0" shapeId="0" xr:uid="{00000000-0006-0000-0100-000008000000}">
      <text>
        <r>
          <rPr>
            <sz val="9"/>
            <color indexed="81"/>
            <rFont val="Tahoma"/>
            <family val="2"/>
          </rPr>
          <t xml:space="preserve">The assumption is that pit excavation depth is one foot more than the project depth
Service pits/manholes are assumed to be included in the entry and exit pit excavations.
For new construction technologies the volume excavated for the pipe is calculated in this cell.
</t>
        </r>
      </text>
    </comment>
    <comment ref="A15" authorId="0" shapeId="0" xr:uid="{00000000-0006-0000-0100-000009000000}">
      <text>
        <r>
          <rPr>
            <sz val="9"/>
            <color indexed="81"/>
            <rFont val="Tahoma"/>
            <family val="2"/>
          </rPr>
          <t>for pipe bursting when connections are longer than 6 metres contractor will burst rather than excavate (interview with Greg Deacon). No excavation for CIPP.</t>
        </r>
      </text>
    </comment>
    <comment ref="A16" authorId="0" shapeId="0" xr:uid="{00000000-0006-0000-0100-00000A000000}">
      <text>
        <r>
          <rPr>
            <sz val="9"/>
            <color indexed="81"/>
            <rFont val="Tahoma"/>
            <family val="2"/>
          </rPr>
          <t xml:space="preserve">Pit excavation plus Lateral connection Excavation </t>
        </r>
      </text>
    </comment>
    <comment ref="A18" authorId="0" shapeId="0" xr:uid="{00000000-0006-0000-0100-00000B000000}">
      <text>
        <r>
          <rPr>
            <sz val="9"/>
            <color indexed="81"/>
            <rFont val="Tahoma"/>
            <family val="2"/>
          </rPr>
          <t xml:space="preserve">Hauling volume (considering reused soil) divided by haul truck capacity. For trenchless 15 Tonne truck (8 m3) is assumed all the time.  It is assumed that trucks will haul fill material on their return trip however in practice there will be 50% more trips for efficiency reasons as contractors would rather have extra trucks and keep them waiting than delay the crew and also dumpsite and excavation pit are assumed as two differernt locations. </t>
        </r>
      </text>
    </comment>
    <comment ref="A20" authorId="0" shapeId="0" xr:uid="{00000000-0006-0000-0100-00000C000000}">
      <text>
        <r>
          <rPr>
            <sz val="9"/>
            <color indexed="81"/>
            <rFont val="Tahoma"/>
            <family val="2"/>
          </rPr>
          <t>Excavation duration is calculated by dividing the TT total exc volume by the OC cross section to find the length equivalent and then divide that by the OC produtivity. Duration increases by 30% for wet soil conditions as per interview with David O'Sullivan on 25 June, 2014 at 16:00 Trenchless contractor in BC since 1990</t>
        </r>
      </text>
    </comment>
    <comment ref="A21" authorId="0" shapeId="0" xr:uid="{00000000-0006-0000-0100-00000D000000}">
      <text>
        <r>
          <rPr>
            <sz val="9"/>
            <color indexed="81"/>
            <rFont val="Tahoma"/>
            <family val="2"/>
          </rPr>
          <t>Sum of excavation and trenchless machinery emissions</t>
        </r>
      </text>
    </comment>
    <comment ref="A22" authorId="0" shapeId="0" xr:uid="{00000000-0006-0000-0100-00000E000000}">
      <text>
        <r>
          <rPr>
            <sz val="9"/>
            <color indexed="81"/>
            <rFont val="Tahoma"/>
            <family val="2"/>
          </rPr>
          <t>The no. of return trips is multiplied by 2 and then multiplied by the fuel economy per km times the hauling distance times the diesel emission factor.
The dump truck is assumed to be a 15 tonne truck for all trenchless operations and the full fuel economy is used and an additional 15% is deducted as a result of calibrating the tool with real world data.</t>
        </r>
      </text>
    </comment>
    <comment ref="A26" authorId="0" shapeId="0" xr:uid="{00000000-0006-0000-0100-00000F000000}">
      <text>
        <r>
          <rPr>
            <b/>
            <sz val="9"/>
            <color indexed="81"/>
            <rFont val="Tahoma"/>
            <charset val="1"/>
          </rPr>
          <t>Author:</t>
        </r>
        <r>
          <rPr>
            <sz val="9"/>
            <color indexed="81"/>
            <rFont val="Tahoma"/>
            <charset val="1"/>
          </rPr>
          <t xml:space="preserve">
negative values indicate increase in emissions</t>
        </r>
      </text>
    </comment>
    <comment ref="A32" authorId="0" shapeId="0" xr:uid="{00000000-0006-0000-0100-000010000000}">
      <text>
        <r>
          <rPr>
            <b/>
            <sz val="9"/>
            <color indexed="81"/>
            <rFont val="Tahoma"/>
            <charset val="1"/>
          </rPr>
          <t>Author:</t>
        </r>
        <r>
          <rPr>
            <sz val="9"/>
            <color indexed="81"/>
            <rFont val="Tahoma"/>
            <charset val="1"/>
          </rPr>
          <t xml:space="preserve">
negative values indicate increase in emissions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2" authorId="0" shapeId="0" xr:uid="{00000000-0006-0000-0200-000001000000}">
      <text>
        <r>
          <rPr>
            <sz val="9"/>
            <color indexed="81"/>
            <rFont val="Tahoma"/>
            <family val="2"/>
          </rPr>
          <t xml:space="preserve">based on productivity
</t>
        </r>
      </text>
    </comment>
    <comment ref="G4" authorId="0" shapeId="0" xr:uid="{00000000-0006-0000-0200-000002000000}">
      <text>
        <r>
          <rPr>
            <sz val="9"/>
            <color indexed="81"/>
            <rFont val="Tahoma"/>
            <family val="2"/>
          </rPr>
          <t>Idiling to guide the pipe during the run</t>
        </r>
      </text>
    </comment>
    <comment ref="A5" authorId="0" shapeId="0" xr:uid="{00000000-0006-0000-0200-000003000000}">
      <text>
        <r>
          <rPr>
            <sz val="9"/>
            <color indexed="81"/>
            <rFont val="Tahoma"/>
            <family val="2"/>
          </rPr>
          <t>a third of the actual horsepower assumed due to it being used less than other machinery</t>
        </r>
      </text>
    </comment>
    <comment ref="E9" authorId="0" shapeId="0" xr:uid="{00000000-0006-0000-0200-000004000000}">
      <text>
        <r>
          <rPr>
            <b/>
            <sz val="9"/>
            <color indexed="81"/>
            <rFont val="Tahoma"/>
            <charset val="1"/>
          </rPr>
          <t>Author:</t>
        </r>
        <r>
          <rPr>
            <sz val="9"/>
            <color indexed="81"/>
            <rFont val="Tahoma"/>
            <charset val="1"/>
          </rPr>
          <t xml:space="preserve">
modern Pipe Bursting operations power all their machinery with a Hydraulic Unit</t>
        </r>
      </text>
    </comment>
    <comment ref="N11" authorId="0" shapeId="0" xr:uid="{00000000-0006-0000-0200-000005000000}">
      <text>
        <r>
          <rPr>
            <sz val="9"/>
            <color indexed="81"/>
            <rFont val="Tahoma"/>
            <family val="2"/>
          </rPr>
          <t>some compnaies use a 60hp boiler</t>
        </r>
      </text>
    </comment>
    <comment ref="A12" authorId="0" shapeId="0" xr:uid="{00000000-0006-0000-0200-000006000000}">
      <text>
        <r>
          <rPr>
            <sz val="9"/>
            <color indexed="81"/>
            <rFont val="Tahoma"/>
            <family val="2"/>
          </rPr>
          <t xml:space="preserve">HDD Machine
15hp/inch diameter interview with David O'Sullivan </t>
        </r>
      </text>
    </comment>
    <comment ref="R12" authorId="0" shapeId="0" xr:uid="{00000000-0006-0000-0200-000007000000}">
      <text>
        <r>
          <rPr>
            <sz val="9"/>
            <color indexed="81"/>
            <rFont val="Tahoma"/>
            <family val="2"/>
          </rPr>
          <t>example: http://www.vermeer.com.au/new-equipment-details.php?CategoryID=69&amp;ProductID=878</t>
        </r>
      </text>
    </comment>
    <comment ref="S12" authorId="0" shapeId="0" xr:uid="{00000000-0006-0000-0200-000008000000}">
      <text>
        <r>
          <rPr>
            <sz val="9"/>
            <color indexed="81"/>
            <rFont val="Tahoma"/>
            <family val="2"/>
          </rPr>
          <t>Based on table on productivity sheet changes based on diameter and type of soil</t>
        </r>
      </text>
    </comment>
    <comment ref="AH12" authorId="0" shapeId="0" xr:uid="{00000000-0006-0000-0200-000009000000}">
      <text>
        <r>
          <rPr>
            <sz val="9"/>
            <color indexed="81"/>
            <rFont val="Tahoma"/>
            <family val="2"/>
          </rPr>
          <t>example: http://www.vermeer.com.au/new-equipment-details.php?CategoryID=69&amp;ProductID=878</t>
        </r>
      </text>
    </comment>
    <comment ref="AI12" authorId="0" shapeId="0" xr:uid="{00000000-0006-0000-0200-00000A000000}">
      <text>
        <r>
          <rPr>
            <sz val="9"/>
            <color indexed="81"/>
            <rFont val="Tahoma"/>
            <family val="2"/>
          </rPr>
          <t xml:space="preserve">1.3-3.0 m/hr progress for microtunnelling
Najafi M., 2013,Trenchless Technology, Planning, Equipment, and Methods
</t>
        </r>
      </text>
    </comment>
    <comment ref="AL12" authorId="0" shapeId="0" xr:uid="{00000000-0006-0000-0200-00000B000000}">
      <text>
        <r>
          <rPr>
            <sz val="9"/>
            <color indexed="81"/>
            <rFont val="Tahoma"/>
            <family val="2"/>
          </rPr>
          <t>example: http://www.vermeer.com.au/new-equipment-details.php?CategoryID=69&amp;ProductID=878</t>
        </r>
      </text>
    </comment>
    <comment ref="AM12" authorId="0" shapeId="0" xr:uid="{00000000-0006-0000-0200-00000C000000}">
      <text>
        <r>
          <rPr>
            <sz val="9"/>
            <color indexed="81"/>
            <rFont val="Tahoma"/>
            <family val="2"/>
          </rPr>
          <t xml:space="preserve">1.3-3.0 m/hr progress for microtunnelling
Najafi M., 2013,Trenchless Technology, Planning, Equipment, and Methods
</t>
        </r>
      </text>
    </comment>
    <comment ref="N13" authorId="0" shapeId="0" xr:uid="{00000000-0006-0000-0200-00000D000000}">
      <text>
        <r>
          <rPr>
            <sz val="9"/>
            <color indexed="81"/>
            <rFont val="Tahoma"/>
            <family val="2"/>
          </rPr>
          <t xml:space="preserve">Interview with Barry L'Heureux. 150 hp machine can grout 20 connections in an 8 hour shift
</t>
        </r>
      </text>
    </comment>
    <comment ref="A17" authorId="0" shapeId="0" xr:uid="{00000000-0006-0000-0200-00000E000000}">
      <text>
        <r>
          <rPr>
            <sz val="9"/>
            <color indexed="81"/>
            <rFont val="Tahoma"/>
            <family val="2"/>
          </rPr>
          <t>150 hp pump working 24/7 for wet ground conditions.</t>
        </r>
      </text>
    </comment>
    <comment ref="A19" authorId="0" shapeId="0" xr:uid="{00000000-0006-0000-0200-00000F000000}">
      <text>
        <r>
          <rPr>
            <sz val="9"/>
            <color indexed="81"/>
            <rFont val="Tahoma"/>
            <family val="2"/>
          </rPr>
          <t>Trenchless technologies category I and II require the excavation of the entry/exit pits and lateral connections will use open cut machinery for this part of the project.</t>
        </r>
      </text>
    </comment>
    <comment ref="D19" authorId="0" shapeId="0" xr:uid="{00000000-0006-0000-0200-000010000000}">
      <text>
        <r>
          <rPr>
            <sz val="9"/>
            <color indexed="81"/>
            <rFont val="Tahoma"/>
            <family val="2"/>
          </rPr>
          <t xml:space="preserve">emissions for each hour that the machinery works </t>
        </r>
      </text>
    </comment>
    <comment ref="P19" authorId="0" shapeId="0" xr:uid="{00000000-0006-0000-0200-000011000000}">
      <text>
        <r>
          <rPr>
            <b/>
            <sz val="9"/>
            <color indexed="81"/>
            <rFont val="Tahoma"/>
            <family val="2"/>
          </rPr>
          <t xml:space="preserve"> </t>
        </r>
        <r>
          <rPr>
            <sz val="9"/>
            <color indexed="81"/>
            <rFont val="Tahoma"/>
            <family val="2"/>
          </rPr>
          <t>CIPP commonly does not require excavation as existing manholes are used to conduct the runs</t>
        </r>
      </text>
    </comment>
    <comment ref="C32" authorId="0" shapeId="0" xr:uid="{00000000-0006-0000-0200-000012000000}">
      <text>
        <r>
          <rPr>
            <sz val="9"/>
            <color indexed="81"/>
            <rFont val="Tahoma"/>
            <family val="2"/>
          </rPr>
          <t>EPA: http://www.epa.gov/otaq/models/nonrdmdl/p02014.pdf</t>
        </r>
      </text>
    </comment>
    <comment ref="A41" authorId="0" shapeId="0" xr:uid="{00000000-0006-0000-0200-000013000000}">
      <text>
        <r>
          <rPr>
            <sz val="9"/>
            <color indexed="81"/>
            <rFont val="Tahoma"/>
            <family val="2"/>
          </rPr>
          <t>http://www3.epa.gov/nonroad/proposal/chptr-6.pdf
table 6.2.2-1</t>
        </r>
      </text>
    </comment>
    <comment ref="A43" authorId="0" shapeId="0" xr:uid="{00000000-0006-0000-0200-000014000000}">
      <text>
        <r>
          <rPr>
            <sz val="9"/>
            <color indexed="81"/>
            <rFont val="Tahoma"/>
            <family val="2"/>
          </rPr>
          <t>http://www3.epa.gov/nonroad/proposal/chptr-6.pdf
table 6.2.2-1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300-000001000000}">
      <text>
        <r>
          <rPr>
            <sz val="9"/>
            <color indexed="81"/>
            <rFont val="Tahoma"/>
            <family val="2"/>
          </rPr>
          <t>Bizer P., 2007, Gravity sanitary sewer design and construction, Trenchless Design and Construction, pp395-414</t>
        </r>
      </text>
    </comment>
    <comment ref="C2" authorId="0" shapeId="0" xr:uid="{00000000-0006-0000-0300-000002000000}">
      <text>
        <r>
          <rPr>
            <sz val="9"/>
            <color indexed="81"/>
            <rFont val="Tahoma"/>
            <family val="2"/>
          </rPr>
          <t xml:space="preserve">Iseley, T., Gokhale S.B., 1997, Trenchless Installation of Conduits Beneath Roadways </t>
        </r>
      </text>
    </comment>
    <comment ref="D2" authorId="0" shapeId="0" xr:uid="{00000000-0006-0000-0300-000003000000}">
      <text>
        <r>
          <rPr>
            <sz val="9"/>
            <color indexed="81"/>
            <rFont val="Tahoma"/>
            <family val="2"/>
          </rPr>
          <t>Zayed T., et al., 2007, DETERMINISTIC PRODUCTIVITY MODEL FOR HORIZONTAL DIRECTIONAL DRILLING</t>
        </r>
      </text>
    </comment>
    <comment ref="E2" authorId="0" shapeId="0" xr:uid="{00000000-0006-0000-0300-000004000000}">
      <text>
        <r>
          <rPr>
            <sz val="9"/>
            <color indexed="81"/>
            <rFont val="Tahoma"/>
            <family val="2"/>
          </rPr>
          <t>Najafi M., 2013,Trenchless Technology, Planning, Equipment, and Methods</t>
        </r>
      </text>
    </comment>
    <comment ref="F2" authorId="0" shapeId="0" xr:uid="{00000000-0006-0000-0300-000005000000}">
      <text>
        <r>
          <rPr>
            <sz val="9"/>
            <color indexed="81"/>
            <rFont val="Tahoma"/>
            <family val="2"/>
          </rPr>
          <t>Interview with David O'Sullivan on 25 June, 2014 at 16:00 
Trenchless contractor in BC since 1990</t>
        </r>
      </text>
    </comment>
    <comment ref="G2" authorId="0" shapeId="0" xr:uid="{00000000-0006-0000-0300-000006000000}">
      <text>
        <r>
          <rPr>
            <sz val="9"/>
            <color indexed="81"/>
            <rFont val="Tahoma"/>
            <family val="2"/>
          </rPr>
          <t>Yeun J. Jung Y.J., Sinha S.K., 2007, Evaluation of Trenchless Technology Methods for Municipal Infrastructure System, Journal of Infrastructure Systems 13:144-156</t>
        </r>
      </text>
    </comment>
    <comment ref="H2" authorId="0" shapeId="0" xr:uid="{00000000-0006-0000-0300-000007000000}">
      <text>
        <r>
          <rPr>
            <sz val="9"/>
            <color indexed="81"/>
            <rFont val="Tahoma"/>
            <family val="2"/>
          </rPr>
          <t>Salem O., Galani N., Najafi,M., 2003, Productivity of Auger Boring Trenchless Pipe Using Simulation, New Pipeline Technogies, Security, and Safety, Pipelines 2003 ASCE</t>
        </r>
      </text>
    </comment>
    <comment ref="I2" authorId="0" shapeId="0" xr:uid="{00000000-0006-0000-0300-000008000000}">
      <text>
        <r>
          <rPr>
            <sz val="9"/>
            <color indexed="81"/>
            <rFont val="Tahoma"/>
            <family val="2"/>
          </rPr>
          <t>Chaurasia et. al., 2013, Productivity Study of Box Jacking for Culvert Installations, Pipelines ASCE 2013</t>
        </r>
      </text>
    </comment>
    <comment ref="B3" authorId="0" shapeId="0" xr:uid="{00000000-0006-0000-0300-000009000000}">
      <text>
        <r>
          <rPr>
            <sz val="9"/>
            <color indexed="81"/>
            <rFont val="Tahoma"/>
            <family val="2"/>
          </rPr>
          <t xml:space="preserve">&gt;2m dia, 15-25m/day
1.5&lt; &gt;2m, significantly limited
&lt;1.5 6m/day
</t>
        </r>
      </text>
    </comment>
    <comment ref="C3" authorId="0" shapeId="0" xr:uid="{00000000-0006-0000-0300-00000A000000}">
      <text>
        <r>
          <rPr>
            <sz val="9"/>
            <color indexed="81"/>
            <rFont val="Tahoma"/>
            <family val="2"/>
          </rPr>
          <t>4 -5 member crew lower in presence of ground water</t>
        </r>
      </text>
    </comment>
    <comment ref="E3" authorId="0" shapeId="0" xr:uid="{00000000-0006-0000-0300-00000B000000}">
      <text>
        <r>
          <rPr>
            <sz val="9"/>
            <color indexed="81"/>
            <rFont val="Tahoma"/>
            <family val="2"/>
          </rPr>
          <t>lower when ground water present</t>
        </r>
      </text>
    </comment>
    <comment ref="L3" authorId="0" shapeId="0" xr:uid="{00000000-0006-0000-0300-00000C000000}">
      <text>
        <r>
          <rPr>
            <sz val="9"/>
            <color indexed="81"/>
            <rFont val="Tahoma"/>
            <family val="2"/>
          </rPr>
          <t>Average between 15 and 30m/day 
Najafi, 2013 and Iseley, 1997</t>
        </r>
      </text>
    </comment>
    <comment ref="C4" authorId="0" shapeId="0" xr:uid="{00000000-0006-0000-0300-00000D000000}">
      <text>
        <r>
          <rPr>
            <sz val="9"/>
            <color indexed="81"/>
            <rFont val="Tahoma"/>
            <family val="2"/>
          </rPr>
          <t>3 person crew, rate is the higher end</t>
        </r>
      </text>
    </comment>
    <comment ref="D4" authorId="0" shapeId="0" xr:uid="{00000000-0006-0000-0300-00000E000000}">
      <text>
        <r>
          <rPr>
            <sz val="9"/>
            <color indexed="81"/>
            <rFont val="Tahoma"/>
            <family val="2"/>
          </rPr>
          <t xml:space="preserve">40mm pipe 880ft in sandy soil
http://users.encs.concordia.ca/~zayed/Confrence%20Papers/61%20Deterministic%20Productivity%20Model%20for%20Horizontal%20Directional%20Drilling.pdf
</t>
        </r>
      </text>
    </comment>
    <comment ref="L4" authorId="0" shapeId="0" xr:uid="{00000000-0006-0000-0300-00000F000000}">
      <text>
        <r>
          <rPr>
            <sz val="9"/>
            <color indexed="81"/>
            <rFont val="Tahoma"/>
            <family val="2"/>
          </rPr>
          <t>Allouche, et al, 2000  value lookup from table below based on pipe diameter and soil type assuming 8 hour day</t>
        </r>
      </text>
    </comment>
    <comment ref="C5" authorId="0" shapeId="0" xr:uid="{00000000-0006-0000-0300-000010000000}">
      <text>
        <r>
          <rPr>
            <sz val="9"/>
            <color indexed="81"/>
            <rFont val="Tahoma"/>
            <family val="2"/>
          </rPr>
          <t>4-8 member crew. 
productivity rates exceeding 61m/shift have been achieved</t>
        </r>
      </text>
    </comment>
    <comment ref="E5" authorId="0" shapeId="0" xr:uid="{00000000-0006-0000-0300-000011000000}">
      <text>
        <r>
          <rPr>
            <sz val="9"/>
            <color indexed="81"/>
            <rFont val="Tahoma"/>
            <family val="2"/>
          </rPr>
          <t>page 289, depending on soil, project conditions, and crew experience</t>
        </r>
      </text>
    </comment>
    <comment ref="L5" authorId="0" shapeId="0" xr:uid="{00000000-0006-0000-0300-000012000000}">
      <text>
        <r>
          <rPr>
            <sz val="9"/>
            <color indexed="81"/>
            <rFont val="Tahoma"/>
            <family val="2"/>
          </rPr>
          <t>Average of Najafi, 2013 numbers</t>
        </r>
      </text>
    </comment>
    <comment ref="C6" authorId="0" shapeId="0" xr:uid="{00000000-0006-0000-0300-000013000000}">
      <text>
        <r>
          <rPr>
            <sz val="9"/>
            <color indexed="81"/>
            <rFont val="Tahoma"/>
            <family val="2"/>
          </rPr>
          <t>4 member crew</t>
        </r>
      </text>
    </comment>
    <comment ref="E6" authorId="0" shapeId="0" xr:uid="{00000000-0006-0000-0300-000014000000}">
      <text>
        <r>
          <rPr>
            <sz val="9"/>
            <color indexed="81"/>
            <rFont val="Tahoma"/>
            <family val="2"/>
          </rPr>
          <t>page 258, Depending on soil, casing diameter, and soil</t>
        </r>
      </text>
    </comment>
    <comment ref="L6" authorId="0" shapeId="0" xr:uid="{00000000-0006-0000-0300-000015000000}">
      <text>
        <r>
          <rPr>
            <sz val="9"/>
            <color indexed="81"/>
            <rFont val="Tahoma"/>
            <family val="2"/>
          </rPr>
          <t>Average of Najafi, 2013 numbers</t>
        </r>
      </text>
    </comment>
    <comment ref="C7" authorId="0" shapeId="0" xr:uid="{00000000-0006-0000-0300-000016000000}">
      <text>
        <r>
          <rPr>
            <sz val="9"/>
            <color indexed="81"/>
            <rFont val="Tahoma"/>
            <family val="2"/>
          </rPr>
          <t>2-3 person crew typical rate</t>
        </r>
      </text>
    </comment>
    <comment ref="L7" authorId="0" shapeId="0" xr:uid="{00000000-0006-0000-0300-000017000000}">
      <text>
        <r>
          <rPr>
            <sz val="9"/>
            <color indexed="81"/>
            <rFont val="Tahoma"/>
            <family val="2"/>
          </rPr>
          <t>Average of Najafi, 2013 numbers. Same as Iseley, Gokhale, 1997 numbers.</t>
        </r>
      </text>
    </comment>
    <comment ref="C8" authorId="0" shapeId="0" xr:uid="{00000000-0006-0000-0300-000018000000}">
      <text>
        <r>
          <rPr>
            <sz val="9"/>
            <color indexed="81"/>
            <rFont val="Tahoma"/>
            <family val="2"/>
          </rPr>
          <t xml:space="preserve">2 person crew, average rate in normal soils </t>
        </r>
      </text>
    </comment>
    <comment ref="L8" authorId="0" shapeId="0" xr:uid="{00000000-0006-0000-0300-000019000000}">
      <text>
        <r>
          <rPr>
            <sz val="9"/>
            <color indexed="81"/>
            <rFont val="Tahoma"/>
            <family val="2"/>
          </rPr>
          <t>Iseley, Gokhale, 1997</t>
        </r>
      </text>
    </comment>
    <comment ref="E9" authorId="0" shapeId="0" xr:uid="{00000000-0006-0000-0300-00001A000000}">
      <text>
        <r>
          <rPr>
            <sz val="9"/>
            <color indexed="81"/>
            <rFont val="Tahoma"/>
            <family val="2"/>
          </rPr>
          <t xml:space="preserve">3/day is also possible </t>
        </r>
      </text>
    </comment>
    <comment ref="L9" authorId="0" shapeId="0" xr:uid="{00000000-0006-0000-0300-00001B000000}">
      <text>
        <r>
          <rPr>
            <sz val="9"/>
            <color indexed="81"/>
            <rFont val="Tahoma"/>
            <family val="2"/>
          </rPr>
          <t>Interview with Barry L'Heureux 6hrs/run d O'Sullivan</t>
        </r>
      </text>
    </comment>
    <comment ref="E10" authorId="0" shapeId="0" xr:uid="{00000000-0006-0000-0300-00001C000000}">
      <text>
        <r>
          <rPr>
            <sz val="9"/>
            <color indexed="81"/>
            <rFont val="Tahoma"/>
            <family val="2"/>
          </rPr>
          <t>Page 382, This is equal to 7.62 m/hr</t>
        </r>
      </text>
    </comment>
    <comment ref="L10" authorId="0" shapeId="0" xr:uid="{00000000-0006-0000-0300-00001D000000}">
      <text>
        <r>
          <rPr>
            <sz val="9"/>
            <color indexed="81"/>
            <rFont val="Tahoma"/>
            <family val="2"/>
          </rPr>
          <t>Najafi 2013, case study for 42Inch pipe</t>
        </r>
      </text>
    </comment>
    <comment ref="L11" authorId="0" shapeId="0" xr:uid="{00000000-0006-0000-0300-00001E000000}">
      <text>
        <r>
          <rPr>
            <sz val="9"/>
            <color indexed="81"/>
            <rFont val="Tahoma"/>
            <family val="2"/>
          </rPr>
          <t xml:space="preserve">O'Sullivan, 2014
</t>
        </r>
      </text>
    </comment>
    <comment ref="L12" authorId="0" shapeId="0" xr:uid="{00000000-0006-0000-0300-00001F000000}">
      <text>
        <r>
          <rPr>
            <sz val="9"/>
            <color indexed="81"/>
            <rFont val="Tahoma"/>
            <family val="2"/>
          </rPr>
          <t>Utility Contractor Online, March 2013. 
1000-3000 ft/pull using lower number and assuming 1 pull per shift
http://utilitycontractoronline.com/inc/data/archives/2013-03-01.pdf</t>
        </r>
      </text>
    </comment>
    <comment ref="I13" authorId="0" shapeId="0" xr:uid="{00000000-0006-0000-0300-000020000000}">
      <text>
        <r>
          <rPr>
            <sz val="9"/>
            <color indexed="81"/>
            <rFont val="Tahoma"/>
            <family val="2"/>
          </rPr>
          <t>Cited in Chaurasia, B., Tavakoli, H., Najafi, M., Williammee, Jr., R., Khankarli, G., and Daniel, A. (2013) Productivity Study of Box Jacking for Culvert Installations. Pipelines 2013: pp. 1126-1137</t>
        </r>
      </text>
    </comment>
    <comment ref="L13" authorId="0" shapeId="0" xr:uid="{00000000-0006-0000-0300-000021000000}">
      <text>
        <r>
          <rPr>
            <sz val="9"/>
            <color indexed="81"/>
            <rFont val="Tahoma"/>
            <family val="2"/>
          </rPr>
          <t>Average from Chaurasia et.al., 2013</t>
        </r>
      </text>
    </comment>
    <comment ref="L14" authorId="0" shapeId="0" xr:uid="{00000000-0006-0000-0300-000022000000}">
      <text>
        <r>
          <rPr>
            <sz val="9"/>
            <color indexed="81"/>
            <rFont val="Tahoma"/>
            <family val="2"/>
          </rPr>
          <t>Average of Najafi, 2013 numbers
(same as Horizontal Auger Boring)</t>
        </r>
      </text>
    </comment>
    <comment ref="A17" authorId="0" shapeId="0" xr:uid="{00000000-0006-0000-0300-000023000000}">
      <text>
        <r>
          <rPr>
            <sz val="9"/>
            <color indexed="81"/>
            <rFont val="Tahoma"/>
            <family val="2"/>
          </rPr>
          <t>per 100 cubic yard</t>
        </r>
      </text>
    </comment>
    <comment ref="B17" authorId="0" shapeId="0" xr:uid="{00000000-0006-0000-0300-000024000000}">
      <text>
        <r>
          <rPr>
            <sz val="9"/>
            <color indexed="81"/>
            <rFont val="Tahoma"/>
            <family val="2"/>
          </rPr>
          <t>Man-hours</t>
        </r>
        <r>
          <rPr>
            <b/>
            <sz val="9"/>
            <color indexed="81"/>
            <rFont val="Tahoma"/>
            <family val="2"/>
          </rPr>
          <t xml:space="preserve"> </t>
        </r>
        <r>
          <rPr>
            <sz val="9"/>
            <color indexed="81"/>
            <rFont val="Tahoma"/>
            <family val="2"/>
          </rPr>
          <t>per person for  a 3 man digging crew
Backfilling with bulldozer, Tamping, Bracing, and Shoring included when depth is more than 4 feet</t>
        </r>
      </text>
    </comment>
    <comment ref="C17" authorId="0" shapeId="0" xr:uid="{00000000-0006-0000-0300-000025000000}">
      <text>
        <r>
          <rPr>
            <sz val="9"/>
            <color indexed="81"/>
            <rFont val="Tahoma"/>
            <family val="2"/>
          </rPr>
          <t>Man-hours per person for  a 3 man digging crew
Backfilling with bulldozer, Tamping, Bracing, and Shoring included when depth is more than 4 feet</t>
        </r>
      </text>
    </comment>
    <comment ref="D17" authorId="0" shapeId="0" xr:uid="{00000000-0006-0000-0300-000026000000}">
      <text>
        <r>
          <rPr>
            <sz val="9"/>
            <color indexed="81"/>
            <rFont val="Tahoma"/>
            <family val="2"/>
          </rPr>
          <t>Man-hours per person for  a 3 man digging crew
Backfilling with bulldozer, Tamping, Bracing, and Shoring included when depth is more than 4 feet</t>
        </r>
      </text>
    </comment>
    <comment ref="E17" authorId="0" shapeId="0" xr:uid="{00000000-0006-0000-0300-000027000000}">
      <text>
        <r>
          <rPr>
            <sz val="9"/>
            <color indexed="81"/>
            <rFont val="Tahoma"/>
            <family val="2"/>
          </rPr>
          <t>Man-hours per person for  a 3 man digging crew
Light Blasting, Machine Drill, Backfilling with bulldozer,and Tamping included</t>
        </r>
      </text>
    </comment>
    <comment ref="F17" authorId="0" shapeId="0" xr:uid="{00000000-0006-0000-0300-000028000000}">
      <text>
        <r>
          <rPr>
            <sz val="9"/>
            <color indexed="81"/>
            <rFont val="Tahoma"/>
            <family val="2"/>
          </rPr>
          <t>Man-hours per person for  a 3 man digging crew. Machine drill blasting productivity assumed for medium hard rock</t>
        </r>
      </text>
    </comment>
    <comment ref="A18" authorId="0" shapeId="0" xr:uid="{00000000-0006-0000-0300-000029000000}">
      <text>
        <r>
          <rPr>
            <sz val="9"/>
            <color indexed="81"/>
            <rFont val="Tahoma"/>
            <family val="2"/>
          </rPr>
          <t>1 Cubic Yard Dipper</t>
        </r>
      </text>
    </comment>
    <comment ref="A19" authorId="0" shapeId="0" xr:uid="{00000000-0006-0000-0300-00002A000000}">
      <text>
        <r>
          <rPr>
            <sz val="9"/>
            <color indexed="81"/>
            <rFont val="Tahoma"/>
            <family val="2"/>
          </rPr>
          <t>3/4 Cubic Yard Dipper</t>
        </r>
      </text>
    </comment>
    <comment ref="A20" authorId="0" shapeId="0" xr:uid="{00000000-0006-0000-0300-00002B000000}">
      <text>
        <r>
          <rPr>
            <sz val="9"/>
            <color indexed="81"/>
            <rFont val="Tahoma"/>
            <family val="2"/>
          </rPr>
          <t>1/2 Cubic Yard Dipper</t>
        </r>
      </text>
    </comment>
    <comment ref="A22" authorId="0" shapeId="0" xr:uid="{00000000-0006-0000-0300-00002C000000}">
      <text>
        <r>
          <rPr>
            <sz val="9"/>
            <color indexed="81"/>
            <rFont val="Tahoma"/>
            <family val="2"/>
          </rPr>
          <t xml:space="preserve">
http://app.knovel.com/web/view/swf/show.v/rcid:kpEPMHME03/cid:kt003UW11A/viewerType:pdf/root_slug:estimators-piping-man?cid=kt003UW11A&amp;page=3&amp;b-toc-cid=kpEPMHME03&amp;b-toc-root-slug=estimators-piping-man&amp;b-toc-url-slug=section-5-underground&amp;b-toc-title=Estimator%27s%20Piping%20Man-Hour%20Manual%20(5th%20Edition)</t>
        </r>
      </text>
    </comment>
    <comment ref="B25" authorId="0" shapeId="0" xr:uid="{00000000-0006-0000-0300-00002D000000}">
      <text>
        <r>
          <rPr>
            <sz val="9"/>
            <color indexed="81"/>
            <rFont val="Tahoma"/>
            <family val="2"/>
          </rPr>
          <t>Clay</t>
        </r>
      </text>
    </comment>
    <comment ref="C25" authorId="0" shapeId="0" xr:uid="{00000000-0006-0000-0300-00002E000000}">
      <text>
        <r>
          <rPr>
            <b/>
            <sz val="9"/>
            <color indexed="81"/>
            <rFont val="Tahoma"/>
            <family val="2"/>
          </rPr>
          <t>Author:</t>
        </r>
        <r>
          <rPr>
            <sz val="9"/>
            <color indexed="81"/>
            <rFont val="Tahoma"/>
            <family val="2"/>
          </rPr>
          <t xml:space="preserve">
Sand</t>
        </r>
      </text>
    </comment>
    <comment ref="D25" authorId="0" shapeId="0" xr:uid="{00000000-0006-0000-0300-00002F000000}">
      <text>
        <r>
          <rPr>
            <sz val="9"/>
            <color indexed="81"/>
            <rFont val="Tahoma"/>
            <family val="2"/>
          </rPr>
          <t>Sand stone</t>
        </r>
      </text>
    </comment>
    <comment ref="F25" authorId="0" shapeId="0" xr:uid="{00000000-0006-0000-0300-000030000000}">
      <text>
        <r>
          <rPr>
            <sz val="9"/>
            <color indexed="81"/>
            <rFont val="Tahoma"/>
            <family val="2"/>
          </rPr>
          <t>Bedrock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EPA NON-ROAD 
http://www.epa.gov/otaq/models/nonrdmdl/nr-009a.pdf</t>
        </r>
      </text>
    </comment>
    <comment ref="B1" authorId="0" shapeId="0" xr:uid="{00000000-0006-0000-0400-000002000000}">
      <text>
        <r>
          <rPr>
            <sz val="9"/>
            <color indexed="81"/>
            <rFont val="Tahoma"/>
            <family val="2"/>
          </rPr>
          <t>this is the volume of fule used for each horse power per each hour of the machine working
https://nepis.epa.gov/Exe/ZyPDF.cgi?Dockey=P10081UI.pdf</t>
        </r>
      </text>
    </comment>
    <comment ref="E2" authorId="0" shapeId="0" xr:uid="{00000000-0006-0000-0400-000003000000}">
      <text>
        <r>
          <rPr>
            <sz val="9"/>
            <color indexed="81"/>
            <rFont val="Tahoma"/>
            <family val="2"/>
          </rPr>
          <t>Kgs of CO2e per litre of diesel fuel</t>
        </r>
      </text>
    </comment>
    <comment ref="E3" authorId="0" shapeId="0" xr:uid="{00000000-0006-0000-0400-000004000000}">
      <text>
        <r>
          <rPr>
            <b/>
            <sz val="9"/>
            <color indexed="81"/>
            <rFont val="Tahoma"/>
            <charset val="1"/>
          </rPr>
          <t>Author:</t>
        </r>
        <r>
          <rPr>
            <sz val="9"/>
            <color indexed="81"/>
            <rFont val="Tahoma"/>
            <charset val="1"/>
          </rPr>
          <t xml:space="preserve">
Page 22
https://www2.gov.bc.ca/assets/gov/environment/climate-change/cng/methodology/2016-17-pso-methodology.pdf</t>
        </r>
      </text>
    </comment>
    <comment ref="E4" authorId="0" shapeId="0" xr:uid="{00000000-0006-0000-0400-000005000000}">
      <text>
        <r>
          <rPr>
            <b/>
            <sz val="9"/>
            <color indexed="81"/>
            <rFont val="Tahoma"/>
            <charset val="1"/>
          </rPr>
          <t>Author:</t>
        </r>
        <r>
          <rPr>
            <sz val="9"/>
            <color indexed="81"/>
            <rFont val="Tahoma"/>
            <charset val="1"/>
          </rPr>
          <t xml:space="preserve">
Page 22
https://www2.gov.bc.ca/assets/gov/environment/climate-change/cng/methodology/2016-17-pso-methodology.pdf</t>
        </r>
      </text>
    </comment>
    <comment ref="E8" authorId="0" shapeId="0" xr:uid="{00000000-0006-0000-0400-000006000000}">
      <text>
        <r>
          <rPr>
            <sz val="9"/>
            <color indexed="81"/>
            <rFont val="Tahoma"/>
            <family val="2"/>
          </rPr>
          <t>Industry Canada
http://www.ic.gc.ca/eic/site/mc-mc.nsf/eng/lm00127.html</t>
        </r>
      </text>
    </comment>
    <comment ref="E10" authorId="0" shapeId="0" xr:uid="{00000000-0006-0000-0400-000007000000}">
      <text>
        <r>
          <rPr>
            <sz val="9"/>
            <color indexed="81"/>
            <rFont val="Tahoma"/>
            <family val="2"/>
          </rPr>
          <t>http://www.arthon.com/calculators/aggweight.shtml</t>
        </r>
      </text>
    </comment>
    <comment ref="H14" authorId="0" shapeId="0" xr:uid="{00000000-0006-0000-0400-000008000000}">
      <text>
        <r>
          <rPr>
            <sz val="9"/>
            <color indexed="81"/>
            <rFont val="Tahoma"/>
            <family val="2"/>
          </rPr>
          <t>1. Bauer C., Dubetz C., Freeman D., Grainger M., Millen T., 1998, An Environmental Review of Hot In-Place Recycling in British Columbia, Major Projects Final Report, Royal Roads University August 1998</t>
        </r>
      </text>
    </comment>
    <comment ref="H15" authorId="0" shapeId="0" xr:uid="{00000000-0006-0000-0400-000009000000}">
      <text>
        <r>
          <rPr>
            <sz val="9"/>
            <color indexed="81"/>
            <rFont val="Tahoma"/>
            <family val="2"/>
          </rPr>
          <t>1. Bauer C., Dubetz C., Freeman D., Grainger M., Millen T., 1998, An Environmental Review of Hot In-Place Recycling in British Columbia, Major Projects Final Report, Royal Roads University August 1998</t>
        </r>
      </text>
    </comment>
    <comment ref="B21" authorId="0" shapeId="0" xr:uid="{00000000-0006-0000-0400-00000A000000}">
      <text>
        <r>
          <rPr>
            <sz val="9"/>
            <color indexed="81"/>
            <rFont val="Tahoma"/>
            <family val="2"/>
          </rPr>
          <t>Not including opencut portion excavation</t>
        </r>
      </text>
    </comment>
    <comment ref="G21" authorId="0" shapeId="0" xr:uid="{00000000-0006-0000-0400-00000B000000}">
      <text>
        <r>
          <rPr>
            <sz val="9"/>
            <color indexed="81"/>
            <rFont val="Tahoma"/>
            <family val="2"/>
          </rPr>
          <t>http://www.epa.gov/otaq/models/nonrdmdl/p02014.pdf</t>
        </r>
      </text>
    </comment>
  </commentList>
</comments>
</file>

<file path=xl/sharedStrings.xml><?xml version="1.0" encoding="utf-8"?>
<sst xmlns="http://schemas.openxmlformats.org/spreadsheetml/2006/main" count="460" uniqueCount="313">
  <si>
    <t>Unit</t>
  </si>
  <si>
    <t>meter</t>
  </si>
  <si>
    <t>L</t>
  </si>
  <si>
    <t>kilometer</t>
  </si>
  <si>
    <t>Parameter</t>
  </si>
  <si>
    <t>Output</t>
  </si>
  <si>
    <t>cubic meter</t>
  </si>
  <si>
    <t>Soil /gravel/sand truck capacity</t>
  </si>
  <si>
    <t xml:space="preserve">Project site to dump site  </t>
  </si>
  <si>
    <t>Fuel Economy</t>
  </si>
  <si>
    <t>Empty/Min</t>
  </si>
  <si>
    <t>Full/Max</t>
  </si>
  <si>
    <t>Capacity</t>
  </si>
  <si>
    <t>References</t>
    <phoneticPr fontId="0" type="noConversion"/>
  </si>
  <si>
    <t>Dump Truck</t>
  </si>
  <si>
    <t>L/km</t>
  </si>
  <si>
    <t>tonnes</t>
  </si>
  <si>
    <t>Heavy duty Vehicle</t>
  </si>
  <si>
    <t>Tanker</t>
  </si>
  <si>
    <t>Litres</t>
  </si>
  <si>
    <t>Diesel Emission factor</t>
  </si>
  <si>
    <t>Excavator</t>
  </si>
  <si>
    <t>Backhoe</t>
  </si>
  <si>
    <t>Winch</t>
  </si>
  <si>
    <t>square meter</t>
  </si>
  <si>
    <t>Generator</t>
  </si>
  <si>
    <t>Roller</t>
  </si>
  <si>
    <t>Open Cut</t>
  </si>
  <si>
    <t>Pipe Fusion system</t>
  </si>
  <si>
    <t>Steam Boiler</t>
  </si>
  <si>
    <t>&gt;11 to 16</t>
  </si>
  <si>
    <t>&gt;0-11</t>
  </si>
  <si>
    <t>&gt;16 to 25</t>
  </si>
  <si>
    <t>&gt;25 to 50</t>
  </si>
  <si>
    <t>&gt;50 to 100</t>
  </si>
  <si>
    <t>&gt;100 to 175</t>
  </si>
  <si>
    <t>&gt;175 to 300</t>
  </si>
  <si>
    <t>&gt;600 to 750</t>
  </si>
  <si>
    <t>BSFC lb/hp-hr</t>
  </si>
  <si>
    <t>1 hp =</t>
  </si>
  <si>
    <t>kilowatts</t>
  </si>
  <si>
    <t>1 pound/horsepower-hour =</t>
  </si>
  <si>
    <t>kg/horsepower (metric)-hour</t>
  </si>
  <si>
    <t>kg</t>
  </si>
  <si>
    <t>1 Kg Diesel</t>
  </si>
  <si>
    <r>
      <t>1 Litre Diesel at 15</t>
    </r>
    <r>
      <rPr>
        <sz val="11"/>
        <color theme="1"/>
        <rFont val="Calibri"/>
        <family val="2"/>
      </rPr>
      <t>ᵒ</t>
    </r>
  </si>
  <si>
    <t>Engine Power (hp)</t>
  </si>
  <si>
    <t>Exit pits</t>
  </si>
  <si>
    <t>hours</t>
  </si>
  <si>
    <t>CO2e kg per hour of operation</t>
  </si>
  <si>
    <t xml:space="preserve">  </t>
  </si>
  <si>
    <t>https://www.dieselnet.com/standards/us/fe_hd.php</t>
  </si>
  <si>
    <t>each</t>
  </si>
  <si>
    <t>Impact Mole</t>
  </si>
  <si>
    <t>Trenchless drop down</t>
  </si>
  <si>
    <t>Trenchless Technology</t>
  </si>
  <si>
    <t>Surface Conditions Drop down</t>
  </si>
  <si>
    <t>Dry</t>
  </si>
  <si>
    <t>Wet</t>
  </si>
  <si>
    <t>Small tools</t>
  </si>
  <si>
    <t>Horizontal Auger Boring</t>
  </si>
  <si>
    <t>Cured in Place Pipe Lining (CIPP)</t>
  </si>
  <si>
    <t>Slip Lining</t>
  </si>
  <si>
    <t>Horizontal Directional Drilling (HDD)</t>
  </si>
  <si>
    <t>Guided Boring System</t>
  </si>
  <si>
    <t>Service Pits and lateral connection inputs</t>
  </si>
  <si>
    <t>Input Depth</t>
  </si>
  <si>
    <t>Default Depth</t>
  </si>
  <si>
    <t>Dimension Units</t>
  </si>
  <si>
    <t>Number (each)</t>
  </si>
  <si>
    <t>Entry Pits</t>
  </si>
  <si>
    <t>Pipe Diameter (D)</t>
  </si>
  <si>
    <t>Pipe Total Length (L)</t>
  </si>
  <si>
    <t>Default Width</t>
  </si>
  <si>
    <t>Input Width</t>
  </si>
  <si>
    <t>Trenchless No. of return trips</t>
  </si>
  <si>
    <t xml:space="preserve">Trenchless hauling emissions </t>
  </si>
  <si>
    <t>Pipe Bursting</t>
  </si>
  <si>
    <t xml:space="preserve">Open Cut </t>
  </si>
  <si>
    <t>Machinery List</t>
  </si>
  <si>
    <t>GHG savings tonnes CO2e</t>
  </si>
  <si>
    <t>Litres of Diesel Fuel saved</t>
  </si>
  <si>
    <r>
      <t>kgCO</t>
    </r>
    <r>
      <rPr>
        <vertAlign val="subscript"/>
        <sz val="11"/>
        <color theme="1"/>
        <rFont val="Calibri"/>
        <family val="2"/>
        <scheme val="minor"/>
      </rPr>
      <t>2</t>
    </r>
    <r>
      <rPr>
        <sz val="11"/>
        <color theme="1"/>
        <rFont val="Calibri"/>
        <family val="2"/>
        <scheme val="minor"/>
      </rPr>
      <t>e/L diesel</t>
    </r>
  </si>
  <si>
    <r>
      <t>kgCO</t>
    </r>
    <r>
      <rPr>
        <vertAlign val="subscript"/>
        <sz val="11"/>
        <color theme="1"/>
        <rFont val="Calibri"/>
        <family val="2"/>
        <scheme val="minor"/>
      </rPr>
      <t>2</t>
    </r>
    <r>
      <rPr>
        <sz val="11"/>
        <color theme="1"/>
        <rFont val="Calibri"/>
        <family val="2"/>
        <scheme val="minor"/>
      </rPr>
      <t>e</t>
    </r>
  </si>
  <si>
    <t>Excavation Machinery emissions per hour kgCO2e/hr</t>
  </si>
  <si>
    <t>Trench Lower Width (Y)</t>
  </si>
  <si>
    <t>Trench Upper Width (X)</t>
  </si>
  <si>
    <t>numbers</t>
  </si>
  <si>
    <t>width</t>
  </si>
  <si>
    <t>Default Length</t>
  </si>
  <si>
    <t>length</t>
  </si>
  <si>
    <t>depth</t>
  </si>
  <si>
    <t>X</t>
  </si>
  <si>
    <t>Y</t>
  </si>
  <si>
    <t>Z</t>
  </si>
  <si>
    <t>D</t>
  </si>
  <si>
    <t>truck capacity</t>
  </si>
  <si>
    <t>millimetre</t>
  </si>
  <si>
    <t>Trenchless excavation duration</t>
  </si>
  <si>
    <t>Trenchless machinery emissions</t>
  </si>
  <si>
    <t>Open Cut machinery emissions</t>
  </si>
  <si>
    <t xml:space="preserve">Open Cut excavation duration </t>
  </si>
  <si>
    <t xml:space="preserve">Open Cut hauling emissions </t>
  </si>
  <si>
    <t xml:space="preserve">Open Cut total emissions </t>
  </si>
  <si>
    <t>Productivity for open cut section of project</t>
  </si>
  <si>
    <t>Total trenchless machinery emissions CO2e kg</t>
  </si>
  <si>
    <t>Percentage of excavated material reused</t>
  </si>
  <si>
    <t>%</t>
  </si>
  <si>
    <t>Open Cut Excavation Volume</t>
  </si>
  <si>
    <t>Total Trenchless Excavation Volume</t>
  </si>
  <si>
    <t>Lateral Connections Excavation Volume</t>
  </si>
  <si>
    <t>dewatering pump</t>
  </si>
  <si>
    <t>Medium Soil</t>
  </si>
  <si>
    <t>Heavy Soil</t>
  </si>
  <si>
    <t>Hard Pan</t>
  </si>
  <si>
    <t>Rock</t>
  </si>
  <si>
    <t>Man-hours per 76.5 cubic meter</t>
  </si>
  <si>
    <t>Soil Type Drop down</t>
  </si>
  <si>
    <t>Soil Type</t>
  </si>
  <si>
    <t>Open Cut Productivity</t>
  </si>
  <si>
    <t>1 cubic metre earth, sand, and gravel</t>
  </si>
  <si>
    <t>tonne</t>
  </si>
  <si>
    <t>Pipe Diameter Drop down</t>
  </si>
  <si>
    <t>see comment</t>
  </si>
  <si>
    <t xml:space="preserve">Trenchless total emissions </t>
  </si>
  <si>
    <t>Conversions</t>
  </si>
  <si>
    <r>
      <t>Volume m</t>
    </r>
    <r>
      <rPr>
        <b/>
        <vertAlign val="superscript"/>
        <sz val="11"/>
        <rFont val="Calibri"/>
        <family val="2"/>
        <scheme val="minor"/>
      </rPr>
      <t>3</t>
    </r>
  </si>
  <si>
    <t>40-60 ft/8h , 3-12 ft/hr</t>
  </si>
  <si>
    <t>2-10 inch/minute</t>
  </si>
  <si>
    <t>33-60 ft/8hr shift</t>
  </si>
  <si>
    <t>2 installations per 8hr day</t>
  </si>
  <si>
    <t>6000ft of 42 inch pipe per month</t>
  </si>
  <si>
    <t>SwageLining</t>
  </si>
  <si>
    <t>Micro Tunneling</t>
  </si>
  <si>
    <t>Boring machine</t>
  </si>
  <si>
    <t>Other 1</t>
  </si>
  <si>
    <t>Other 2</t>
  </si>
  <si>
    <t>10 m/hr</t>
  </si>
  <si>
    <t>10-30m/shift</t>
  </si>
  <si>
    <t>33m/shift</t>
  </si>
  <si>
    <t>9-18m/shift</t>
  </si>
  <si>
    <t>50-250 mm/min</t>
  </si>
  <si>
    <t>m/hr</t>
  </si>
  <si>
    <t>HDD</t>
  </si>
  <si>
    <t>123.4 ft/hr</t>
  </si>
  <si>
    <t>Diameter (mm)</t>
  </si>
  <si>
    <t xml:space="preserve">Allouche, E.,N., et al, 2000, Horizontal Directional Drilling: Profile of an Emerging Industry, J. Constr. Eng. Manage. 126(1), 68-76 (2000) </t>
  </si>
  <si>
    <t>Average HDD Productivity (m/Day) in Various Subsurface Formations</t>
  </si>
  <si>
    <t>Pipe Jacking</t>
  </si>
  <si>
    <t>Bizer 2007</t>
  </si>
  <si>
    <t>Zayed et. Al., 2007</t>
  </si>
  <si>
    <t>180m/day</t>
  </si>
  <si>
    <t>Microtunneling</t>
  </si>
  <si>
    <t>Najafi, 2013</t>
  </si>
  <si>
    <t>Pipe Ramming</t>
  </si>
  <si>
    <t>CIPP</t>
  </si>
  <si>
    <t>Sliplining</t>
  </si>
  <si>
    <t>4hr/run</t>
  </si>
  <si>
    <t>20 hr/run</t>
  </si>
  <si>
    <t>Jung, Sinha, 2007</t>
  </si>
  <si>
    <t>20 m/day</t>
  </si>
  <si>
    <t>variable of diameter and soil type</t>
  </si>
  <si>
    <t>Comments</t>
  </si>
  <si>
    <t>unit</t>
  </si>
  <si>
    <t xml:space="preserve">variable of diameter </t>
  </si>
  <si>
    <t>Salem et. al., 2003</t>
  </si>
  <si>
    <t>0.57 m/hr</t>
  </si>
  <si>
    <t>Box Jacking</t>
  </si>
  <si>
    <t>20-35 ft/shift</t>
  </si>
  <si>
    <t>Chaurasia, B. C., 2013</t>
  </si>
  <si>
    <t>hrs/run</t>
  </si>
  <si>
    <t>Trenchless Productivity Reference Table</t>
  </si>
  <si>
    <t>O'Sullivan, 2014</t>
  </si>
  <si>
    <t xml:space="preserve">Final figure used for calculations </t>
  </si>
  <si>
    <t>PipeBursting</t>
  </si>
  <si>
    <t>depending on soil, project conditions, and crew experience</t>
  </si>
  <si>
    <t>Iseley, Gokhale, 1997</t>
  </si>
  <si>
    <t>Horizontal Directional Drilling</t>
  </si>
  <si>
    <t xml:space="preserve">SwageLining </t>
  </si>
  <si>
    <t>Horizontal Auger Boring                           Guided Boring System</t>
  </si>
  <si>
    <t>Pipe Raming</t>
  </si>
  <si>
    <t xml:space="preserve">Productivity User input </t>
  </si>
  <si>
    <t>&lt;100</t>
  </si>
  <si>
    <t>101–200</t>
  </si>
  <si>
    <t>201–300</t>
  </si>
  <si>
    <t>&gt;301</t>
  </si>
  <si>
    <t>BSFC kg Fuel/hp-hr</t>
  </si>
  <si>
    <t>Trenchless Machinery emissions CO2e kg</t>
  </si>
  <si>
    <t>duration hrs</t>
  </si>
  <si>
    <t>Cured in Place Pipe Lining</t>
  </si>
  <si>
    <t>ImpactMole</t>
  </si>
  <si>
    <t>Swagelining</t>
  </si>
  <si>
    <t>PipeRamming</t>
  </si>
  <si>
    <t>BoxJacking</t>
  </si>
  <si>
    <t>AugerBoring GuidedBoring</t>
  </si>
  <si>
    <r>
      <t>CO</t>
    </r>
    <r>
      <rPr>
        <vertAlign val="subscript"/>
        <sz val="9"/>
        <color theme="1"/>
        <rFont val="Calibri"/>
        <family val="2"/>
        <scheme val="minor"/>
      </rPr>
      <t>2</t>
    </r>
    <r>
      <rPr>
        <sz val="9"/>
        <color theme="1"/>
        <rFont val="Calibri"/>
        <family val="2"/>
        <scheme val="minor"/>
      </rPr>
      <t>e kg</t>
    </r>
  </si>
  <si>
    <t>6-25m/day</t>
  </si>
  <si>
    <t>30-80ft/8hr shift</t>
  </si>
  <si>
    <t>meters length per 8hr day</t>
  </si>
  <si>
    <t>meters per 8hr day</t>
  </si>
  <si>
    <t>Light Soil/Sand</t>
  </si>
  <si>
    <t>HP Average</t>
  </si>
  <si>
    <t>HP Operational</t>
  </si>
  <si>
    <t>Air Compressor</t>
  </si>
  <si>
    <t>Compactor</t>
  </si>
  <si>
    <t>Crawler Dozer</t>
  </si>
  <si>
    <t>Skid Steer</t>
  </si>
  <si>
    <t>Tractor</t>
  </si>
  <si>
    <t>Wheel Loader</t>
  </si>
  <si>
    <t>EPA/Canada Load Factor</t>
  </si>
  <si>
    <t xml:space="preserve">HP Operational </t>
  </si>
  <si>
    <t>Concrete Pump</t>
  </si>
  <si>
    <t>Forklift</t>
  </si>
  <si>
    <t>Pump</t>
  </si>
  <si>
    <t>Winch 20 Tonne</t>
  </si>
  <si>
    <t>EPA Load factor</t>
  </si>
  <si>
    <t>Open-Cut Machiney                        MetroVan Database</t>
  </si>
  <si>
    <t>Trenchless Machinery                     MetroVan Database</t>
  </si>
  <si>
    <t>Project Parameters</t>
  </si>
  <si>
    <t>User Input</t>
  </si>
  <si>
    <r>
      <t>Pipe Depth At Start (Z</t>
    </r>
    <r>
      <rPr>
        <vertAlign val="subscript"/>
        <sz val="11"/>
        <color theme="1"/>
        <rFont val="Calibri"/>
        <family val="2"/>
        <scheme val="minor"/>
      </rPr>
      <t>1</t>
    </r>
    <r>
      <rPr>
        <sz val="11"/>
        <color theme="1"/>
        <rFont val="Calibri"/>
        <family val="2"/>
        <scheme val="minor"/>
      </rPr>
      <t>)</t>
    </r>
  </si>
  <si>
    <r>
      <t>Pipe Depth At End (Z</t>
    </r>
    <r>
      <rPr>
        <vertAlign val="subscript"/>
        <sz val="11"/>
        <color theme="1"/>
        <rFont val="Calibri"/>
        <family val="2"/>
        <scheme val="minor"/>
      </rPr>
      <t>2</t>
    </r>
    <r>
      <rPr>
        <sz val="11"/>
        <color theme="1"/>
        <rFont val="Calibri"/>
        <family val="2"/>
        <scheme val="minor"/>
      </rPr>
      <t>)</t>
    </r>
  </si>
  <si>
    <t>prod.</t>
  </si>
  <si>
    <t>% reuse</t>
  </si>
  <si>
    <t>dump distance</t>
  </si>
  <si>
    <t>OpenCut Estimated Project Parameters</t>
  </si>
  <si>
    <t>Default/Estimated Value</t>
  </si>
  <si>
    <t>Open Cut Man-hours per 76.5 cubic meter (100 cubic yards)</t>
  </si>
  <si>
    <t>Assignment</t>
  </si>
  <si>
    <t>High</t>
  </si>
  <si>
    <t>Low</t>
  </si>
  <si>
    <t>Steady State</t>
  </si>
  <si>
    <t>Average Load Factor</t>
  </si>
  <si>
    <t>Example</t>
  </si>
  <si>
    <t>7-Cycle Average</t>
  </si>
  <si>
    <t xml:space="preserve"> EPA Compression Ignition Load Factors</t>
  </si>
  <si>
    <t>Backhoe Loader</t>
  </si>
  <si>
    <t>Total Pit Excavation Volume</t>
  </si>
  <si>
    <t>Project Name/Number/Address</t>
  </si>
  <si>
    <t>Input Avg. Length</t>
  </si>
  <si>
    <t>Ground Conditions</t>
  </si>
  <si>
    <t>Number of runs if applicable</t>
  </si>
  <si>
    <t>Lateral/Service Connections Near-Side</t>
  </si>
  <si>
    <t>Lateral/Service Connections Far-Side</t>
  </si>
  <si>
    <t>Excavator 0.4 Cubic metre Bucket</t>
  </si>
  <si>
    <t>Excavator 0.6 Cubic metre Bucket</t>
  </si>
  <si>
    <t>Excavator 0.8 Cubic metre Bucket</t>
  </si>
  <si>
    <t>6 hr/run</t>
  </si>
  <si>
    <t>operational hp defaults</t>
  </si>
  <si>
    <t>operational hp input</t>
  </si>
  <si>
    <t>operational hp default</t>
  </si>
  <si>
    <t>oprational hp Inputs</t>
  </si>
  <si>
    <t xml:space="preserve"> oprational hp defaults</t>
  </si>
  <si>
    <t>oprational hp defaults</t>
  </si>
  <si>
    <t>oprational hp input</t>
  </si>
  <si>
    <t>oprational hp default</t>
  </si>
  <si>
    <t>Grouting unit</t>
  </si>
  <si>
    <t>Hydro Vac</t>
  </si>
  <si>
    <t>0</t>
  </si>
  <si>
    <t>Trench Cross Section Area</t>
  </si>
  <si>
    <t>Open cut no. of return trips</t>
  </si>
  <si>
    <t>No. of trucks off the road</t>
  </si>
  <si>
    <t xml:space="preserve">Other references </t>
  </si>
  <si>
    <t>Total Number of Manholes</t>
  </si>
  <si>
    <t>total TT length</t>
  </si>
  <si>
    <t>Page., John S.,1999, Estimator's piping man-hour manual, fifth edition, section 5, pages 190-193</t>
  </si>
  <si>
    <t>Hydraulic unit</t>
  </si>
  <si>
    <t xml:space="preserve">Bore Rig </t>
  </si>
  <si>
    <t>Off-Road (Vehicle/Equipment)</t>
  </si>
  <si>
    <t>Heavy Duty (Dump Trucks)</t>
  </si>
  <si>
    <t>Assuming all excavation will be done by an excavator with a 0.6 cubic meter bucket. If excavation deeper than 1.7m 25% will be added to the above man hours</t>
  </si>
  <si>
    <t>Surface Type</t>
  </si>
  <si>
    <t>Asphalt</t>
  </si>
  <si>
    <t>Concrete</t>
  </si>
  <si>
    <t>Trees</t>
  </si>
  <si>
    <t>Grass</t>
  </si>
  <si>
    <t>Other</t>
  </si>
  <si>
    <t>Fewer return truck trips</t>
  </si>
  <si>
    <t>input field</t>
  </si>
  <si>
    <t>dependant default value</t>
  </si>
  <si>
    <t>independent default value</t>
  </si>
  <si>
    <t xml:space="preserve">Surface Type </t>
  </si>
  <si>
    <t>Test</t>
  </si>
  <si>
    <t>Box #</t>
  </si>
  <si>
    <t>error</t>
  </si>
  <si>
    <t>Error</t>
  </si>
  <si>
    <t>Cross Section Area Adjusted for Lateral Connections</t>
  </si>
  <si>
    <t>Trenchless</t>
  </si>
  <si>
    <t>Truck return trips</t>
  </si>
  <si>
    <t>Diesel Fuel (1000L)</t>
  </si>
  <si>
    <t>CO2e (Tonnes)</t>
  </si>
  <si>
    <t>OpenCut</t>
  </si>
  <si>
    <t>Box  135</t>
  </si>
  <si>
    <t>Box  136</t>
  </si>
  <si>
    <t>Box  137</t>
  </si>
  <si>
    <t>Box  138</t>
  </si>
  <si>
    <t>Box  139</t>
  </si>
  <si>
    <t>Box  140</t>
  </si>
  <si>
    <t>Box  141</t>
  </si>
  <si>
    <t>Box  142</t>
  </si>
  <si>
    <t>Box  143</t>
  </si>
  <si>
    <t>Box  144</t>
  </si>
  <si>
    <t>Box  145</t>
  </si>
  <si>
    <t>GHG savings percentage</t>
  </si>
  <si>
    <t>Litres of diesel fuel saved</t>
  </si>
  <si>
    <t>Trenchless excavation Productivity</t>
  </si>
  <si>
    <t>Trenchless Excavation Cross Section Area</t>
  </si>
  <si>
    <t>Box  146</t>
  </si>
  <si>
    <t>Results</t>
  </si>
  <si>
    <t>Results after net down  of</t>
  </si>
  <si>
    <t xml:space="preserve">Class 8 model dump trucks will typically get around 3.2 gallons per hour for short hauls, and 6.2 mpg for highway -  http://www.equipmentworld.com/owning-and-operating-costs-8/#sthash.QNHfmgUY.dpuf </t>
  </si>
  <si>
    <t>Reduction Before Net Down</t>
  </si>
  <si>
    <t>Model and assumption uncertainty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</si>
</sst>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0.0"/>
    <numFmt numFmtId="166" formatCode="0.000"/>
    <numFmt numFmtId="167" formatCode="_(* #,##0_);_(* \(#,##0\);_(* &quot;-&quot;??_);_(@_)"/>
    <numFmt numFmtId="168" formatCode="_-* #,##0_-;\-* #,##0_-;_-* &quot;-&quot;??_-;_-@_-"/>
    <numFmt numFmtId="169" formatCode="0.0%"/>
    <numFmt numFmtId="170" formatCode="_(* #,##0.0_);_(* \(#,##0.0\);_(* &quot;-&quot;??_);_(@_)"/>
    <numFmt numFmtId="171" formatCode="_-* #,##0.0_-;\-* #,##0.0_-;_-* &quot;-&quot;??_-;_-@_-"/>
    <numFmt numFmtId="172" formatCode="#,##0.0"/>
  </numFmts>
  <fonts count="63">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sz val="9"/>
      <name val="Verdana"/>
      <family val="2"/>
    </font>
    <font>
      <b/>
      <sz val="11"/>
      <color theme="1"/>
      <name val="Calibri"/>
      <family val="2"/>
      <scheme val="minor"/>
    </font>
    <font>
      <b/>
      <sz val="9"/>
      <color indexed="81"/>
      <name val="Tahoma"/>
      <family val="2"/>
    </font>
    <font>
      <sz val="9"/>
      <color indexed="81"/>
      <name val="Tahoma"/>
      <family val="2"/>
    </font>
    <font>
      <sz val="12"/>
      <color theme="1"/>
      <name val="Calibri"/>
      <family val="2"/>
      <scheme val="minor"/>
    </font>
    <font>
      <sz val="11"/>
      <color rgb="FFFF0000"/>
      <name val="Calibri"/>
      <family val="2"/>
      <scheme val="minor"/>
    </font>
    <font>
      <u/>
      <sz val="11"/>
      <color theme="10"/>
      <name val="Calibri"/>
      <family val="2"/>
      <scheme val="minor"/>
    </font>
    <font>
      <sz val="11"/>
      <color theme="1"/>
      <name val="Calibri"/>
      <family val="2"/>
    </font>
    <font>
      <b/>
      <u/>
      <sz val="11"/>
      <color theme="10"/>
      <name val="Calibri"/>
      <family val="2"/>
      <scheme val="minor"/>
    </font>
    <font>
      <b/>
      <sz val="11"/>
      <color theme="0"/>
      <name val="Calibri"/>
      <family val="2"/>
      <scheme val="minor"/>
    </font>
    <font>
      <b/>
      <sz val="12"/>
      <color theme="0"/>
      <name val="Calibri"/>
      <family val="2"/>
      <scheme val="minor"/>
    </font>
    <font>
      <b/>
      <i/>
      <sz val="11"/>
      <color theme="0"/>
      <name val="Calibri"/>
      <family val="2"/>
      <scheme val="minor"/>
    </font>
    <font>
      <b/>
      <sz val="14"/>
      <color theme="1"/>
      <name val="Calibri"/>
      <family val="2"/>
      <scheme val="minor"/>
    </font>
    <font>
      <b/>
      <i/>
      <sz val="14"/>
      <color theme="1"/>
      <name val="Calibri"/>
      <family val="2"/>
      <scheme val="minor"/>
    </font>
    <font>
      <b/>
      <sz val="11"/>
      <color theme="8" tint="-0.499984740745262"/>
      <name val="Calibri"/>
      <family val="2"/>
      <scheme val="minor"/>
    </font>
    <font>
      <b/>
      <sz val="12"/>
      <color theme="8" tint="-0.499984740745262"/>
      <name val="Calibri"/>
      <family val="2"/>
      <scheme val="minor"/>
    </font>
    <font>
      <b/>
      <sz val="14"/>
      <color theme="0"/>
      <name val="Calibri"/>
      <family val="2"/>
      <scheme val="minor"/>
    </font>
    <font>
      <b/>
      <sz val="11"/>
      <color theme="4" tint="-0.499984740745262"/>
      <name val="Calibri"/>
      <family val="2"/>
      <scheme val="minor"/>
    </font>
    <font>
      <b/>
      <sz val="12"/>
      <color theme="1"/>
      <name val="Calibri"/>
      <family val="2"/>
      <scheme val="minor"/>
    </font>
    <font>
      <vertAlign val="subscript"/>
      <sz val="11"/>
      <color theme="1"/>
      <name val="Calibri"/>
      <family val="2"/>
      <scheme val="minor"/>
    </font>
    <font>
      <b/>
      <sz val="10"/>
      <color theme="4" tint="-0.499984740745262"/>
      <name val="Calibri"/>
      <family val="2"/>
      <scheme val="minor"/>
    </font>
    <font>
      <sz val="11"/>
      <color theme="0" tint="-0.14999847407452621"/>
      <name val="Calibri"/>
      <family val="2"/>
      <scheme val="minor"/>
    </font>
    <font>
      <sz val="9"/>
      <color theme="1"/>
      <name val="Calibri"/>
      <family val="2"/>
      <scheme val="minor"/>
    </font>
    <font>
      <u/>
      <sz val="9"/>
      <color theme="10"/>
      <name val="Calibri"/>
      <family val="2"/>
      <scheme val="minor"/>
    </font>
    <font>
      <b/>
      <sz val="11"/>
      <name val="Calibri"/>
      <family val="2"/>
      <scheme val="minor"/>
    </font>
    <font>
      <b/>
      <vertAlign val="superscript"/>
      <sz val="11"/>
      <name val="Calibri"/>
      <family val="2"/>
      <scheme val="minor"/>
    </font>
    <font>
      <sz val="10"/>
      <color theme="1"/>
      <name val="Calibri"/>
      <family val="2"/>
      <scheme val="minor"/>
    </font>
    <font>
      <sz val="10"/>
      <color rgb="FF000000"/>
      <name val="Arial"/>
      <family val="2"/>
    </font>
    <font>
      <b/>
      <sz val="10"/>
      <color theme="0"/>
      <name val="Calibri"/>
      <family val="2"/>
      <scheme val="minor"/>
    </font>
    <font>
      <sz val="12"/>
      <color theme="0"/>
      <name val="Calibri"/>
      <family val="2"/>
      <scheme val="minor"/>
    </font>
    <font>
      <b/>
      <sz val="11"/>
      <color theme="0"/>
      <name val="Arial"/>
      <family val="2"/>
    </font>
    <font>
      <b/>
      <i/>
      <sz val="12"/>
      <color theme="1"/>
      <name val="Calibri"/>
      <family val="2"/>
      <scheme val="minor"/>
    </font>
    <font>
      <b/>
      <i/>
      <sz val="16"/>
      <color theme="1"/>
      <name val="Calibri"/>
      <family val="2"/>
      <scheme val="minor"/>
    </font>
    <font>
      <vertAlign val="subscript"/>
      <sz val="9"/>
      <color theme="1"/>
      <name val="Calibri"/>
      <family val="2"/>
      <scheme val="minor"/>
    </font>
    <font>
      <b/>
      <sz val="11"/>
      <color rgb="FFFFFF00"/>
      <name val="Calibri"/>
      <family val="2"/>
      <scheme val="minor"/>
    </font>
    <font>
      <b/>
      <sz val="12"/>
      <color rgb="FFFFFF00"/>
      <name val="Montserrat"/>
    </font>
    <font>
      <sz val="11"/>
      <color theme="2" tint="-0.249977111117893"/>
      <name val="Calibri"/>
      <family val="2"/>
      <scheme val="minor"/>
    </font>
    <font>
      <b/>
      <sz val="9"/>
      <color theme="8" tint="-0.499984740745262"/>
      <name val="Calibri"/>
      <family val="2"/>
      <scheme val="minor"/>
    </font>
    <font>
      <b/>
      <sz val="16"/>
      <name val="Calibri"/>
      <family val="2"/>
      <scheme val="minor"/>
    </font>
    <font>
      <sz val="11"/>
      <color rgb="FF7030A0"/>
      <name val="Calibri"/>
      <family val="2"/>
      <scheme val="minor"/>
    </font>
    <font>
      <b/>
      <sz val="11"/>
      <color rgb="FF7030A0"/>
      <name val="Calibri"/>
      <family val="2"/>
      <scheme val="minor"/>
    </font>
    <font>
      <sz val="10"/>
      <color theme="0" tint="-0.249977111117893"/>
      <name val="Calibri"/>
      <family val="2"/>
      <scheme val="minor"/>
    </font>
    <font>
      <b/>
      <sz val="14"/>
      <name val="Calibri"/>
      <family val="2"/>
      <scheme val="minor"/>
    </font>
    <font>
      <b/>
      <sz val="12"/>
      <color rgb="FF002060"/>
      <name val="Calibri"/>
      <family val="2"/>
      <scheme val="minor"/>
    </font>
    <font>
      <sz val="11"/>
      <color rgb="FF002060"/>
      <name val="Calibri"/>
      <family val="2"/>
      <scheme val="minor"/>
    </font>
    <font>
      <b/>
      <sz val="16"/>
      <color rgb="FF002060"/>
      <name val="Calibri"/>
      <family val="2"/>
      <scheme val="minor"/>
    </font>
    <font>
      <b/>
      <sz val="11"/>
      <color rgb="FF002060"/>
      <name val="Calibri"/>
      <family val="2"/>
      <scheme val="minor"/>
    </font>
    <font>
      <i/>
      <sz val="11"/>
      <color theme="0"/>
      <name val="Calibri"/>
      <family val="2"/>
      <scheme val="minor"/>
    </font>
    <font>
      <sz val="11"/>
      <color theme="3" tint="-0.249977111117893"/>
      <name val="Calibri"/>
      <family val="2"/>
      <scheme val="minor"/>
    </font>
    <font>
      <sz val="9"/>
      <color indexed="81"/>
      <name val="Tahoma"/>
      <charset val="1"/>
    </font>
    <font>
      <b/>
      <sz val="9"/>
      <color indexed="81"/>
      <name val="Tahoma"/>
      <charset val="1"/>
    </font>
    <font>
      <b/>
      <sz val="14"/>
      <color rgb="FFFFFF00"/>
      <name val="Calibri"/>
      <family val="2"/>
      <scheme val="minor"/>
    </font>
    <font>
      <b/>
      <sz val="16"/>
      <color rgb="FFFFFF00"/>
      <name val="Calibri"/>
      <family val="2"/>
      <scheme val="minor"/>
    </font>
    <font>
      <b/>
      <sz val="18"/>
      <color rgb="FFFFFF00"/>
      <name val="Calibri"/>
      <family val="2"/>
      <scheme val="minor"/>
    </font>
    <font>
      <sz val="14"/>
      <color theme="0"/>
      <name val="Calibri"/>
      <family val="2"/>
      <scheme val="minor"/>
    </font>
    <font>
      <sz val="11"/>
      <color theme="1" tint="0.499984740745262"/>
      <name val="Calibri"/>
      <family val="2"/>
      <scheme val="minor"/>
    </font>
    <font>
      <sz val="11"/>
      <color theme="1" tint="0.499984740745262"/>
      <name val="Arial"/>
      <family val="2"/>
    </font>
    <font>
      <b/>
      <sz val="11"/>
      <color theme="1" tint="0.499984740745262"/>
      <name val="Calibri"/>
      <family val="2"/>
      <scheme val="minor"/>
    </font>
    <font>
      <sz val="11"/>
      <color theme="0" tint="-4.9989318521683403E-2"/>
      <name val="Calibri"/>
      <family val="2"/>
      <scheme val="minor"/>
    </font>
  </fonts>
  <fills count="35">
    <fill>
      <patternFill patternType="none"/>
    </fill>
    <fill>
      <patternFill patternType="gray125"/>
    </fill>
    <fill>
      <patternFill patternType="solid">
        <fgColor rgb="FF00B0F0"/>
        <bgColor indexed="64"/>
      </patternFill>
    </fill>
    <fill>
      <patternFill patternType="solid">
        <fgColor rgb="FF7030A0"/>
        <bgColor indexed="64"/>
      </patternFill>
    </fill>
    <fill>
      <patternFill patternType="solid">
        <fgColor rgb="FFFFFF00"/>
        <bgColor indexed="64"/>
      </patternFill>
    </fill>
    <fill>
      <patternFill patternType="solid">
        <fgColor indexed="43"/>
        <bgColor indexed="64"/>
      </patternFill>
    </fill>
    <fill>
      <patternFill patternType="solid">
        <fgColor indexed="44"/>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rgb="FF92D050"/>
        <bgColor indexed="64"/>
      </patternFill>
    </fill>
    <fill>
      <patternFill patternType="solid">
        <fgColor theme="4"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99"/>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s>
  <cellStyleXfs count="6">
    <xf numFmtId="0" fontId="0" fillId="0" borderId="0"/>
    <xf numFmtId="0" fontId="4" fillId="0" borderId="0"/>
    <xf numFmtId="0" fontId="8" fillId="0" borderId="0"/>
    <xf numFmtId="0" fontId="10"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404">
    <xf numFmtId="0" fontId="0" fillId="0" borderId="0" xfId="0"/>
    <xf numFmtId="0" fontId="0" fillId="4" borderId="1"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165" fontId="0" fillId="4" borderId="1" xfId="0" applyNumberFormat="1" applyFill="1" applyBorder="1" applyAlignment="1" applyProtection="1">
      <alignment horizontal="center" vertical="center"/>
      <protection locked="0"/>
    </xf>
    <xf numFmtId="165" fontId="0" fillId="9" borderId="1" xfId="0" applyNumberFormat="1" applyFill="1" applyBorder="1" applyAlignment="1" applyProtection="1">
      <alignment horizontal="center" vertical="center"/>
    </xf>
    <xf numFmtId="0" fontId="0" fillId="0" borderId="0" xfId="0" applyAlignment="1" applyProtection="1">
      <alignment horizontal="center" vertical="center"/>
    </xf>
    <xf numFmtId="0" fontId="25" fillId="0" borderId="0" xfId="0" applyFont="1" applyAlignment="1" applyProtection="1">
      <alignment horizontal="center" vertical="center"/>
    </xf>
    <xf numFmtId="0" fontId="13" fillId="22" borderId="0" xfId="0" applyFont="1" applyFill="1" applyAlignment="1" applyProtection="1">
      <alignment horizontal="center"/>
    </xf>
    <xf numFmtId="165" fontId="0" fillId="15" borderId="1" xfId="0" applyNumberFormat="1" applyFill="1" applyBorder="1" applyAlignment="1" applyProtection="1">
      <alignment horizontal="center" vertical="center"/>
    </xf>
    <xf numFmtId="165" fontId="0" fillId="15" borderId="3" xfId="0" applyNumberFormat="1" applyFill="1" applyBorder="1" applyAlignment="1" applyProtection="1">
      <alignment horizontal="center" vertical="center"/>
    </xf>
    <xf numFmtId="165" fontId="0" fillId="33" borderId="1" xfId="0" applyNumberFormat="1" applyFill="1" applyBorder="1" applyAlignment="1" applyProtection="1">
      <alignment horizontal="center" vertical="center"/>
    </xf>
    <xf numFmtId="9" fontId="0" fillId="9" borderId="15" xfId="5" applyFont="1" applyFill="1" applyBorder="1" applyAlignment="1" applyProtection="1">
      <alignment horizontal="center" vertical="center"/>
    </xf>
    <xf numFmtId="165" fontId="0" fillId="9" borderId="15" xfId="0" applyNumberFormat="1" applyFill="1" applyBorder="1" applyAlignment="1" applyProtection="1">
      <alignment horizontal="center" vertical="center"/>
    </xf>
    <xf numFmtId="2" fontId="0" fillId="14" borderId="15" xfId="0" applyNumberFormat="1" applyFill="1" applyBorder="1" applyAlignment="1" applyProtection="1">
      <alignment horizontal="center" vertical="center"/>
    </xf>
    <xf numFmtId="0" fontId="0" fillId="14" borderId="13" xfId="0" applyFill="1" applyBorder="1" applyAlignment="1" applyProtection="1">
      <alignment horizontal="center" vertical="center"/>
    </xf>
    <xf numFmtId="165" fontId="0" fillId="14" borderId="3" xfId="0" applyNumberFormat="1" applyFill="1" applyBorder="1" applyAlignment="1" applyProtection="1">
      <alignment horizontal="center" vertical="center"/>
    </xf>
    <xf numFmtId="165" fontId="0" fillId="14" borderId="1" xfId="0" applyNumberFormat="1" applyFill="1" applyBorder="1" applyAlignment="1" applyProtection="1">
      <alignment horizontal="center" vertical="center"/>
    </xf>
    <xf numFmtId="0" fontId="0" fillId="14" borderId="1" xfId="0" applyFill="1" applyBorder="1" applyAlignment="1" applyProtection="1">
      <alignment horizontal="center" vertical="center"/>
    </xf>
    <xf numFmtId="0" fontId="13" fillId="17"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xf>
    <xf numFmtId="0" fontId="13" fillId="17" borderId="18" xfId="0" applyFont="1" applyFill="1" applyBorder="1" applyAlignment="1" applyProtection="1">
      <alignment horizontal="left" vertical="center" wrapText="1"/>
    </xf>
    <xf numFmtId="165" fontId="20" fillId="17" borderId="18" xfId="0" applyNumberFormat="1" applyFont="1" applyFill="1" applyBorder="1" applyAlignment="1" applyProtection="1">
      <alignment horizontal="right" vertical="center" wrapText="1"/>
    </xf>
    <xf numFmtId="0" fontId="0" fillId="0" borderId="16"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ont="1" applyFill="1" applyAlignment="1" applyProtection="1">
      <alignment horizontal="center" vertical="center"/>
    </xf>
    <xf numFmtId="0" fontId="0" fillId="0" borderId="0" xfId="0" applyAlignment="1" applyProtection="1">
      <alignment horizontal="left" vertical="top"/>
    </xf>
    <xf numFmtId="0" fontId="13" fillId="0" borderId="16" xfId="0" applyFont="1" applyFill="1" applyBorder="1" applyAlignment="1" applyProtection="1">
      <alignment horizontal="center" vertical="center"/>
    </xf>
    <xf numFmtId="167" fontId="16" fillId="0" borderId="0" xfId="0" applyNumberFormat="1" applyFont="1" applyFill="1" applyAlignment="1" applyProtection="1">
      <alignment horizontal="right" vertical="center"/>
    </xf>
    <xf numFmtId="167" fontId="20" fillId="17" borderId="18" xfId="4" applyNumberFormat="1" applyFont="1" applyFill="1" applyBorder="1" applyAlignment="1" applyProtection="1">
      <alignment horizontal="right" vertical="center" wrapText="1"/>
    </xf>
    <xf numFmtId="0" fontId="2" fillId="0" borderId="0" xfId="0" applyFont="1" applyFill="1" applyBorder="1" applyAlignment="1" applyProtection="1">
      <alignment horizontal="center" vertical="center"/>
    </xf>
    <xf numFmtId="0" fontId="3" fillId="0" borderId="0" xfId="0" applyFont="1" applyAlignment="1" applyProtection="1">
      <alignment horizontal="center" vertical="center"/>
    </xf>
    <xf numFmtId="9" fontId="16" fillId="0" borderId="0" xfId="5" applyFont="1" applyFill="1" applyAlignment="1" applyProtection="1">
      <alignment horizontal="right" vertical="center"/>
    </xf>
    <xf numFmtId="0" fontId="15" fillId="15" borderId="19" xfId="0" applyFont="1" applyFill="1" applyBorder="1" applyAlignment="1" applyProtection="1">
      <alignment horizontal="center" vertical="center" wrapText="1"/>
    </xf>
    <xf numFmtId="1" fontId="28" fillId="0" borderId="0" xfId="0" applyNumberFormat="1" applyFont="1" applyAlignment="1" applyProtection="1">
      <alignment horizontal="center" vertical="center"/>
    </xf>
    <xf numFmtId="0" fontId="0" fillId="0" borderId="20" xfId="0" applyBorder="1" applyAlignment="1" applyProtection="1">
      <alignment horizontal="center" vertical="center"/>
    </xf>
    <xf numFmtId="0" fontId="0" fillId="0" borderId="20" xfId="0" applyFill="1" applyBorder="1" applyAlignment="1" applyProtection="1">
      <alignment horizontal="center" vertical="center"/>
    </xf>
    <xf numFmtId="0" fontId="15" fillId="15" borderId="19" xfId="0" applyFont="1" applyFill="1" applyBorder="1" applyAlignment="1" applyProtection="1">
      <alignment horizontal="center" vertical="center"/>
    </xf>
    <xf numFmtId="0" fontId="0" fillId="15" borderId="1" xfId="0" applyFill="1" applyBorder="1" applyAlignment="1" applyProtection="1">
      <alignment horizontal="center" vertical="center"/>
    </xf>
    <xf numFmtId="0" fontId="0" fillId="33" borderId="1" xfId="0" applyFill="1" applyBorder="1" applyAlignment="1" applyProtection="1">
      <alignment horizontal="center" vertical="center"/>
    </xf>
    <xf numFmtId="0" fontId="0" fillId="0" borderId="0" xfId="0" applyAlignment="1" applyProtection="1">
      <alignment horizontal="left" vertical="center"/>
    </xf>
    <xf numFmtId="0" fontId="0" fillId="0" borderId="0" xfId="0" applyBorder="1" applyAlignment="1" applyProtection="1">
      <alignment horizontal="center" vertical="center"/>
    </xf>
    <xf numFmtId="0" fontId="0" fillId="0" borderId="0" xfId="0" applyFill="1" applyBorder="1" applyAlignment="1" applyProtection="1">
      <alignment horizontal="left" vertical="center"/>
    </xf>
    <xf numFmtId="2" fontId="46" fillId="0" borderId="0" xfId="0" applyNumberFormat="1" applyFont="1" applyFill="1" applyBorder="1" applyAlignment="1" applyProtection="1">
      <alignment horizontal="left" vertical="center"/>
    </xf>
    <xf numFmtId="0" fontId="43" fillId="0" borderId="0" xfId="0" applyFont="1" applyAlignment="1" applyProtection="1">
      <alignment horizontal="left" vertical="center"/>
    </xf>
    <xf numFmtId="9" fontId="46" fillId="0" borderId="0" xfId="5" applyFont="1" applyFill="1" applyBorder="1" applyAlignment="1" applyProtection="1">
      <alignment horizontal="left" vertical="center"/>
    </xf>
    <xf numFmtId="0" fontId="2" fillId="0" borderId="0" xfId="0" applyFont="1" applyAlignment="1" applyProtection="1">
      <alignment horizontal="center" vertical="center"/>
    </xf>
    <xf numFmtId="0" fontId="42" fillId="0" borderId="0" xfId="0" applyFont="1" applyFill="1" applyBorder="1" applyAlignment="1" applyProtection="1">
      <alignment horizontal="left" vertical="center"/>
    </xf>
    <xf numFmtId="0" fontId="0" fillId="0" borderId="0" xfId="0" applyFill="1" applyBorder="1" applyAlignment="1" applyProtection="1">
      <alignment vertical="center" wrapText="1"/>
    </xf>
    <xf numFmtId="167" fontId="20" fillId="0" borderId="0" xfId="4" applyNumberFormat="1" applyFont="1" applyFill="1" applyBorder="1" applyAlignment="1" applyProtection="1">
      <alignment horizontal="right" vertical="center" wrapText="1"/>
    </xf>
    <xf numFmtId="0" fontId="3"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wrapText="1"/>
    </xf>
    <xf numFmtId="0" fontId="38"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44" fillId="0" borderId="0" xfId="0" applyFont="1" applyFill="1" applyBorder="1" applyAlignment="1" applyProtection="1">
      <alignment horizontal="left"/>
    </xf>
    <xf numFmtId="0" fontId="0" fillId="0" borderId="0" xfId="0" applyFill="1" applyBorder="1" applyAlignment="1" applyProtection="1">
      <alignment horizontal="left"/>
    </xf>
    <xf numFmtId="0" fontId="3" fillId="0" borderId="0" xfId="0" applyFont="1" applyFill="1" applyBorder="1" applyAlignment="1" applyProtection="1">
      <alignment horizontal="left"/>
    </xf>
    <xf numFmtId="165" fontId="0" fillId="0" borderId="0" xfId="0" applyNumberFormat="1" applyFill="1" applyBorder="1" applyAlignment="1" applyProtection="1">
      <alignment horizontal="left"/>
    </xf>
    <xf numFmtId="0" fontId="0" fillId="0" borderId="0" xfId="0" applyFont="1" applyFill="1" applyBorder="1" applyAlignment="1" applyProtection="1">
      <alignment horizontal="left" vertical="center"/>
    </xf>
    <xf numFmtId="0" fontId="0" fillId="0" borderId="0" xfId="0" applyFill="1" applyBorder="1" applyAlignment="1" applyProtection="1"/>
    <xf numFmtId="0" fontId="5" fillId="0" borderId="0" xfId="0" applyFont="1" applyFill="1" applyBorder="1" applyAlignment="1" applyProtection="1">
      <alignment horizontal="center"/>
    </xf>
    <xf numFmtId="165" fontId="0" fillId="0" borderId="0" xfId="0" applyNumberFormat="1" applyAlignment="1" applyProtection="1">
      <alignment horizontal="center" vertical="center"/>
    </xf>
    <xf numFmtId="0" fontId="0" fillId="17" borderId="1" xfId="0" applyFill="1" applyBorder="1" applyAlignment="1" applyProtection="1">
      <alignment horizontal="center" vertical="center"/>
    </xf>
    <xf numFmtId="0" fontId="14" fillId="17" borderId="15" xfId="0" applyFont="1" applyFill="1" applyBorder="1" applyAlignment="1" applyProtection="1">
      <alignment horizontal="center" vertical="center"/>
    </xf>
    <xf numFmtId="165" fontId="0" fillId="14" borderId="15" xfId="0" applyNumberForma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4" fillId="17" borderId="21" xfId="0" applyFont="1" applyFill="1" applyBorder="1" applyAlignment="1" applyProtection="1">
      <alignment horizontal="center" vertical="center"/>
    </xf>
    <xf numFmtId="0" fontId="13" fillId="17" borderId="0" xfId="0" applyFont="1" applyFill="1" applyBorder="1" applyAlignment="1" applyProtection="1">
      <alignment horizontal="left" vertical="center" wrapText="1"/>
    </xf>
    <xf numFmtId="167" fontId="20" fillId="17" borderId="0" xfId="4" applyNumberFormat="1" applyFont="1" applyFill="1" applyBorder="1" applyAlignment="1" applyProtection="1">
      <alignment horizontal="right" vertical="center" wrapText="1"/>
    </xf>
    <xf numFmtId="0" fontId="15" fillId="15" borderId="10" xfId="0" applyFont="1" applyFill="1" applyBorder="1" applyAlignment="1" applyProtection="1">
      <alignment horizontal="center" vertical="center" wrapText="1"/>
    </xf>
    <xf numFmtId="0" fontId="15" fillId="15" borderId="22" xfId="0" applyFont="1" applyFill="1" applyBorder="1" applyAlignment="1" applyProtection="1">
      <alignment horizontal="center" vertical="center" wrapText="1"/>
    </xf>
    <xf numFmtId="0" fontId="0" fillId="17" borderId="3" xfId="0" applyFill="1" applyBorder="1" applyAlignment="1" applyProtection="1">
      <alignment horizontal="center" vertical="center"/>
    </xf>
    <xf numFmtId="9" fontId="0" fillId="17" borderId="3" xfId="5" applyFont="1" applyFill="1" applyBorder="1" applyAlignment="1" applyProtection="1">
      <alignment horizontal="center" vertical="center"/>
    </xf>
    <xf numFmtId="0" fontId="0" fillId="9" borderId="23" xfId="0" applyFill="1" applyBorder="1" applyAlignment="1" applyProtection="1">
      <alignment horizontal="center" vertical="center"/>
    </xf>
    <xf numFmtId="0" fontId="0" fillId="17" borderId="6" xfId="0" applyFill="1" applyBorder="1" applyAlignment="1" applyProtection="1">
      <alignment horizontal="center" vertical="center"/>
    </xf>
    <xf numFmtId="0" fontId="0" fillId="14" borderId="24" xfId="0" applyFont="1" applyFill="1" applyBorder="1" applyAlignment="1" applyProtection="1">
      <alignment horizontal="center" vertical="center"/>
    </xf>
    <xf numFmtId="0" fontId="0" fillId="17" borderId="24" xfId="0" applyFill="1" applyBorder="1" applyAlignment="1" applyProtection="1">
      <alignment horizontal="center" vertical="center"/>
    </xf>
    <xf numFmtId="0" fontId="15" fillId="15" borderId="22" xfId="0" applyFont="1" applyFill="1" applyBorder="1" applyAlignment="1" applyProtection="1">
      <alignment horizontal="center" vertical="center"/>
    </xf>
    <xf numFmtId="165" fontId="0" fillId="14" borderId="23" xfId="0" applyNumberFormat="1" applyFill="1" applyBorder="1" applyAlignment="1" applyProtection="1">
      <alignment horizontal="center" vertical="center"/>
    </xf>
    <xf numFmtId="0" fontId="13" fillId="3"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18" fillId="12" borderId="0" xfId="0" applyFont="1" applyFill="1" applyAlignment="1" applyProtection="1">
      <alignment horizontal="center" vertical="center"/>
    </xf>
    <xf numFmtId="0" fontId="2" fillId="12"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0" fillId="2" borderId="0" xfId="0" applyFill="1" applyAlignment="1" applyProtection="1">
      <alignment horizontal="left" vertical="center"/>
    </xf>
    <xf numFmtId="0" fontId="0" fillId="14" borderId="0" xfId="0" applyFill="1" applyAlignment="1" applyProtection="1">
      <alignment horizontal="center" vertical="center"/>
    </xf>
    <xf numFmtId="165" fontId="0" fillId="0" borderId="0" xfId="0" applyNumberFormat="1" applyFont="1" applyFill="1" applyAlignment="1" applyProtection="1">
      <alignment horizontal="right" vertical="center"/>
    </xf>
    <xf numFmtId="168" fontId="0" fillId="2" borderId="0" xfId="4" applyNumberFormat="1" applyFont="1" applyFill="1" applyAlignment="1" applyProtection="1">
      <alignment horizontal="center" vertical="center"/>
    </xf>
    <xf numFmtId="168" fontId="0" fillId="0" borderId="0" xfId="4" applyNumberFormat="1" applyFont="1" applyFill="1" applyAlignment="1" applyProtection="1">
      <alignment horizontal="center" vertical="center"/>
    </xf>
    <xf numFmtId="1" fontId="0" fillId="0" borderId="0" xfId="0" applyNumberFormat="1" applyAlignment="1" applyProtection="1">
      <alignment horizontal="center" vertical="center"/>
    </xf>
    <xf numFmtId="167" fontId="0" fillId="2" borderId="0" xfId="4" applyNumberFormat="1" applyFont="1" applyFill="1" applyAlignment="1" applyProtection="1">
      <alignment horizontal="right" vertical="center"/>
    </xf>
    <xf numFmtId="167" fontId="0" fillId="0" borderId="0" xfId="4" applyNumberFormat="1" applyFont="1" applyFill="1" applyAlignment="1" applyProtection="1">
      <alignment horizontal="right" vertical="center"/>
    </xf>
    <xf numFmtId="170" fontId="0" fillId="2" borderId="0" xfId="4" applyNumberFormat="1" applyFont="1" applyFill="1" applyAlignment="1" applyProtection="1">
      <alignment horizontal="right" vertical="center"/>
    </xf>
    <xf numFmtId="170" fontId="0" fillId="0" borderId="0" xfId="4" applyNumberFormat="1" applyFont="1" applyFill="1" applyAlignment="1" applyProtection="1">
      <alignment horizontal="right" vertical="center"/>
    </xf>
    <xf numFmtId="169" fontId="0" fillId="0" borderId="0" xfId="0" applyNumberFormat="1" applyAlignment="1" applyProtection="1">
      <alignment horizontal="center" vertical="center"/>
    </xf>
    <xf numFmtId="168" fontId="0" fillId="2" borderId="0" xfId="4" applyNumberFormat="1" applyFont="1" applyFill="1" applyAlignment="1" applyProtection="1">
      <alignment horizontal="right" vertical="center"/>
    </xf>
    <xf numFmtId="167" fontId="0" fillId="0" borderId="0" xfId="4" applyNumberFormat="1" applyFont="1" applyFill="1" applyAlignment="1" applyProtection="1">
      <alignment horizontal="left" vertical="center"/>
    </xf>
    <xf numFmtId="171" fontId="0" fillId="0" borderId="0" xfId="4" applyNumberFormat="1" applyFont="1" applyFill="1" applyAlignment="1" applyProtection="1">
      <alignment horizontal="left" vertical="center"/>
    </xf>
    <xf numFmtId="167" fontId="16" fillId="2" borderId="0" xfId="4" applyNumberFormat="1" applyFont="1" applyFill="1" applyAlignment="1" applyProtection="1">
      <alignment horizontal="right" vertical="center"/>
    </xf>
    <xf numFmtId="167" fontId="16" fillId="0" borderId="0" xfId="4" applyNumberFormat="1" applyFont="1" applyFill="1" applyAlignment="1" applyProtection="1">
      <alignment horizontal="right" vertical="center"/>
    </xf>
    <xf numFmtId="0" fontId="19" fillId="12" borderId="0" xfId="0" applyFont="1" applyFill="1" applyAlignment="1" applyProtection="1">
      <alignment horizontal="center" vertical="center"/>
    </xf>
    <xf numFmtId="0" fontId="41" fillId="0" borderId="0" xfId="0" applyFont="1" applyFill="1" applyAlignment="1" applyProtection="1">
      <alignment horizontal="center" wrapText="1"/>
    </xf>
    <xf numFmtId="9" fontId="0" fillId="0" borderId="0" xfId="0" applyNumberFormat="1" applyAlignment="1" applyProtection="1">
      <alignment horizontal="center" vertical="center"/>
    </xf>
    <xf numFmtId="9" fontId="0" fillId="0" borderId="0" xfId="5" applyFont="1" applyFill="1" applyAlignment="1" applyProtection="1">
      <alignment horizontal="center" vertical="center"/>
    </xf>
    <xf numFmtId="0" fontId="0" fillId="2" borderId="0" xfId="0" applyFill="1" applyAlignment="1" applyProtection="1">
      <alignment horizontal="left"/>
    </xf>
    <xf numFmtId="167" fontId="0" fillId="2" borderId="0" xfId="4" applyNumberFormat="1" applyFont="1" applyFill="1" applyAlignment="1" applyProtection="1">
      <alignment horizontal="right"/>
    </xf>
    <xf numFmtId="0" fontId="0" fillId="0" borderId="0" xfId="0" applyFill="1" applyAlignment="1" applyProtection="1">
      <alignment horizontal="left" vertical="center"/>
    </xf>
    <xf numFmtId="0" fontId="0" fillId="0" borderId="0" xfId="0" applyFill="1" applyProtection="1"/>
    <xf numFmtId="0" fontId="0" fillId="0" borderId="0" xfId="0" applyFill="1" applyAlignment="1" applyProtection="1">
      <alignment horizontal="left"/>
    </xf>
    <xf numFmtId="165" fontId="0" fillId="0" borderId="0" xfId="0" applyNumberFormat="1" applyFill="1" applyAlignment="1" applyProtection="1">
      <alignment horizontal="left" vertical="center"/>
    </xf>
    <xf numFmtId="165" fontId="0" fillId="0" borderId="0" xfId="0" applyNumberFormat="1" applyFill="1" applyAlignment="1" applyProtection="1">
      <alignment horizontal="center" vertical="center"/>
    </xf>
    <xf numFmtId="0" fontId="20" fillId="16" borderId="0" xfId="0" applyFont="1" applyFill="1" applyAlignment="1" applyProtection="1">
      <alignment horizontal="left" vertical="center"/>
    </xf>
    <xf numFmtId="165" fontId="20" fillId="16" borderId="0" xfId="0" applyNumberFormat="1" applyFont="1" applyFill="1" applyAlignment="1" applyProtection="1">
      <alignment horizontal="center" vertical="center"/>
    </xf>
    <xf numFmtId="167" fontId="16" fillId="0" borderId="0" xfId="4" applyNumberFormat="1" applyFont="1" applyFill="1" applyAlignment="1" applyProtection="1">
      <alignment horizontal="center" vertical="center"/>
    </xf>
    <xf numFmtId="1" fontId="5" fillId="0" borderId="0" xfId="0" applyNumberFormat="1" applyFont="1" applyAlignment="1" applyProtection="1">
      <alignment horizontal="center" vertical="center"/>
    </xf>
    <xf numFmtId="0" fontId="5" fillId="0" borderId="0" xfId="0" applyFont="1" applyFill="1" applyBorder="1" applyAlignment="1" applyProtection="1">
      <alignment horizontal="center" vertical="center"/>
    </xf>
    <xf numFmtId="165" fontId="0" fillId="0" borderId="0" xfId="0" applyNumberFormat="1" applyFill="1" applyBorder="1" applyAlignment="1" applyProtection="1">
      <alignment horizontal="center" vertical="center"/>
    </xf>
    <xf numFmtId="0" fontId="0" fillId="0" borderId="0" xfId="0" applyNumberFormat="1" applyFill="1" applyBorder="1" applyAlignment="1" applyProtection="1">
      <alignment horizontal="center"/>
    </xf>
    <xf numFmtId="0" fontId="31" fillId="0" borderId="0" xfId="0" applyFont="1" applyFill="1" applyBorder="1" applyProtection="1"/>
    <xf numFmtId="172" fontId="20" fillId="16" borderId="0" xfId="0" applyNumberFormat="1" applyFont="1" applyFill="1" applyAlignment="1" applyProtection="1">
      <alignment horizontal="right" vertical="center"/>
    </xf>
    <xf numFmtId="165" fontId="2" fillId="0" borderId="0" xfId="0" applyNumberFormat="1" applyFont="1" applyAlignment="1" applyProtection="1">
      <alignment horizontal="center" vertical="center"/>
    </xf>
    <xf numFmtId="1" fontId="2" fillId="0" borderId="0" xfId="0" applyNumberFormat="1" applyFont="1" applyAlignment="1" applyProtection="1">
      <alignment horizontal="center" vertical="center"/>
    </xf>
    <xf numFmtId="166" fontId="2" fillId="0" borderId="0" xfId="0" applyNumberFormat="1" applyFont="1" applyAlignment="1" applyProtection="1">
      <alignment horizontal="center" vertical="center"/>
    </xf>
    <xf numFmtId="0" fontId="2" fillId="0" borderId="20" xfId="0" applyFont="1" applyBorder="1" applyAlignment="1" applyProtection="1">
      <alignment horizontal="center" vertical="center"/>
    </xf>
    <xf numFmtId="0" fontId="3" fillId="4" borderId="0" xfId="0" applyFont="1" applyFill="1" applyAlignment="1" applyProtection="1">
      <alignment wrapText="1"/>
      <protection locked="0"/>
    </xf>
    <xf numFmtId="0" fontId="0" fillId="4" borderId="0" xfId="0" applyFill="1" applyAlignment="1" applyProtection="1">
      <alignment wrapText="1"/>
      <protection locked="0"/>
    </xf>
    <xf numFmtId="2" fontId="0" fillId="4" borderId="0" xfId="0" applyNumberFormat="1" applyFill="1" applyAlignment="1" applyProtection="1">
      <alignment horizontal="right" wrapText="1"/>
      <protection locked="0"/>
    </xf>
    <xf numFmtId="1" fontId="0" fillId="4" borderId="0" xfId="0" applyNumberFormat="1" applyFill="1" applyAlignment="1" applyProtection="1">
      <alignment wrapText="1"/>
      <protection locked="0"/>
    </xf>
    <xf numFmtId="165" fontId="0" fillId="4" borderId="0" xfId="0" applyNumberFormat="1" applyFill="1" applyAlignment="1" applyProtection="1">
      <alignment wrapText="1"/>
      <protection locked="0"/>
    </xf>
    <xf numFmtId="0" fontId="36" fillId="12" borderId="0" xfId="0" applyFont="1" applyFill="1" applyAlignment="1" applyProtection="1">
      <alignment vertical="center"/>
    </xf>
    <xf numFmtId="0" fontId="22" fillId="24" borderId="0" xfId="0" applyFont="1" applyFill="1" applyAlignment="1" applyProtection="1">
      <alignment vertical="center"/>
    </xf>
    <xf numFmtId="0" fontId="35" fillId="24" borderId="0" xfId="0" applyFont="1" applyFill="1" applyAlignment="1" applyProtection="1">
      <alignment vertical="center" wrapText="1"/>
    </xf>
    <xf numFmtId="0" fontId="22" fillId="25" borderId="0" xfId="0" applyFont="1" applyFill="1" applyAlignment="1" applyProtection="1">
      <alignment vertical="center"/>
    </xf>
    <xf numFmtId="0" fontId="35" fillId="25" borderId="0" xfId="0" applyFont="1" applyFill="1" applyAlignment="1" applyProtection="1">
      <alignment vertical="center" wrapText="1"/>
    </xf>
    <xf numFmtId="0" fontId="35" fillId="27" borderId="0" xfId="0" applyFont="1" applyFill="1" applyAlignment="1" applyProtection="1">
      <alignment vertical="center" wrapText="1"/>
    </xf>
    <xf numFmtId="0" fontId="22" fillId="30" borderId="0" xfId="0" applyFont="1" applyFill="1" applyAlignment="1" applyProtection="1">
      <alignment vertical="center"/>
    </xf>
    <xf numFmtId="0" fontId="35" fillId="30" borderId="0" xfId="0" applyFont="1" applyFill="1" applyAlignment="1" applyProtection="1">
      <alignment vertical="center" wrapText="1"/>
    </xf>
    <xf numFmtId="0" fontId="22" fillId="28" borderId="0" xfId="0" applyFont="1" applyFill="1" applyAlignment="1" applyProtection="1">
      <alignment vertical="center"/>
    </xf>
    <xf numFmtId="0" fontId="35" fillId="28" borderId="0" xfId="0" applyFont="1" applyFill="1" applyAlignment="1" applyProtection="1">
      <alignment vertical="center" wrapText="1"/>
    </xf>
    <xf numFmtId="0" fontId="22" fillId="29" borderId="0" xfId="0" applyFont="1" applyFill="1" applyAlignment="1" applyProtection="1">
      <alignment vertical="center"/>
    </xf>
    <xf numFmtId="0" fontId="35" fillId="29" borderId="0" xfId="0" applyFont="1" applyFill="1" applyAlignment="1" applyProtection="1">
      <alignment vertical="center" wrapText="1"/>
    </xf>
    <xf numFmtId="0" fontId="22" fillId="19" borderId="0" xfId="0" applyFont="1" applyFill="1" applyAlignment="1" applyProtection="1">
      <alignment vertical="center"/>
    </xf>
    <xf numFmtId="0" fontId="35" fillId="19" borderId="0" xfId="0" applyFont="1" applyFill="1" applyAlignment="1" applyProtection="1">
      <alignment vertical="center" wrapText="1"/>
    </xf>
    <xf numFmtId="0" fontId="0" fillId="0" borderId="0" xfId="0" applyProtection="1"/>
    <xf numFmtId="0" fontId="17" fillId="12" borderId="0" xfId="0" applyFont="1" applyFill="1" applyProtection="1"/>
    <xf numFmtId="0" fontId="26" fillId="7" borderId="0" xfId="0" applyFont="1" applyFill="1" applyAlignment="1" applyProtection="1">
      <alignment horizontal="left" vertical="center" wrapText="1"/>
    </xf>
    <xf numFmtId="0" fontId="26" fillId="10" borderId="0" xfId="0" applyFont="1" applyFill="1" applyAlignment="1" applyProtection="1">
      <alignment horizontal="left" vertical="center" wrapText="1"/>
    </xf>
    <xf numFmtId="0" fontId="26" fillId="8" borderId="0" xfId="0" applyFont="1" applyFill="1" applyAlignment="1" applyProtection="1">
      <alignment horizontal="left" vertical="center" wrapText="1"/>
    </xf>
    <xf numFmtId="0" fontId="26" fillId="11" borderId="0" xfId="0" applyFont="1" applyFill="1" applyAlignment="1" applyProtection="1">
      <alignment horizontal="left" vertical="center" wrapText="1"/>
    </xf>
    <xf numFmtId="0" fontId="26" fillId="9" borderId="0" xfId="0" applyFont="1" applyFill="1" applyAlignment="1" applyProtection="1">
      <alignment horizontal="left" vertical="center" wrapText="1"/>
    </xf>
    <xf numFmtId="0" fontId="26" fillId="24" borderId="0" xfId="0" applyFont="1" applyFill="1" applyAlignment="1" applyProtection="1">
      <alignment horizontal="left" vertical="center" wrapText="1"/>
    </xf>
    <xf numFmtId="0" fontId="26" fillId="25" borderId="0" xfId="0" applyFont="1" applyFill="1" applyAlignment="1" applyProtection="1">
      <alignment horizontal="left" vertical="center" wrapText="1"/>
    </xf>
    <xf numFmtId="0" fontId="26" fillId="27" borderId="0" xfId="0" applyFont="1" applyFill="1" applyAlignment="1" applyProtection="1">
      <alignment horizontal="left" vertical="center" wrapText="1"/>
    </xf>
    <xf numFmtId="0" fontId="26" fillId="30" borderId="0" xfId="0" applyFont="1" applyFill="1" applyAlignment="1" applyProtection="1">
      <alignment horizontal="left" vertical="center" wrapText="1"/>
    </xf>
    <xf numFmtId="0" fontId="26" fillId="28" borderId="0" xfId="0" applyFont="1" applyFill="1" applyAlignment="1" applyProtection="1">
      <alignment horizontal="left" vertical="center" wrapText="1"/>
    </xf>
    <xf numFmtId="0" fontId="26" fillId="29" borderId="0" xfId="0" applyFont="1" applyFill="1" applyAlignment="1" applyProtection="1">
      <alignment horizontal="left" vertical="center" wrapText="1"/>
    </xf>
    <xf numFmtId="0" fontId="26" fillId="19" borderId="0" xfId="0" applyFont="1" applyFill="1" applyAlignment="1" applyProtection="1">
      <alignment horizontal="left" vertical="center" wrapText="1"/>
    </xf>
    <xf numFmtId="0" fontId="5" fillId="12" borderId="0" xfId="0" applyFont="1" applyFill="1" applyProtection="1"/>
    <xf numFmtId="1" fontId="0" fillId="7" borderId="0" xfId="0" applyNumberFormat="1" applyFill="1" applyAlignment="1" applyProtection="1">
      <alignment wrapText="1"/>
    </xf>
    <xf numFmtId="0" fontId="0" fillId="10" borderId="0" xfId="0" applyFill="1" applyAlignment="1" applyProtection="1">
      <alignment wrapText="1"/>
    </xf>
    <xf numFmtId="165" fontId="0" fillId="10" borderId="0" xfId="0" applyNumberFormat="1" applyFill="1" applyAlignment="1" applyProtection="1">
      <alignment wrapText="1"/>
    </xf>
    <xf numFmtId="0" fontId="0" fillId="8" borderId="0" xfId="0" applyFill="1" applyAlignment="1" applyProtection="1">
      <alignment wrapText="1"/>
    </xf>
    <xf numFmtId="0" fontId="0" fillId="11" borderId="0" xfId="0" applyFill="1" applyAlignment="1" applyProtection="1">
      <alignment wrapText="1"/>
    </xf>
    <xf numFmtId="0" fontId="0" fillId="9" borderId="0" xfId="0" applyFill="1" applyAlignment="1" applyProtection="1">
      <alignment wrapText="1"/>
    </xf>
    <xf numFmtId="0" fontId="0" fillId="24" borderId="0" xfId="0" applyFill="1" applyAlignment="1" applyProtection="1">
      <alignment wrapText="1"/>
    </xf>
    <xf numFmtId="0" fontId="0" fillId="25" borderId="0" xfId="0" applyFill="1" applyAlignment="1" applyProtection="1">
      <alignment wrapText="1"/>
    </xf>
    <xf numFmtId="0" fontId="0" fillId="27" borderId="0" xfId="0" applyFill="1" applyAlignment="1" applyProtection="1">
      <alignment wrapText="1"/>
    </xf>
    <xf numFmtId="165" fontId="0" fillId="27" borderId="0" xfId="0" applyNumberFormat="1" applyFill="1" applyAlignment="1" applyProtection="1">
      <alignment wrapText="1"/>
    </xf>
    <xf numFmtId="0" fontId="0" fillId="30" borderId="0" xfId="0" applyFill="1" applyAlignment="1" applyProtection="1">
      <alignment wrapText="1"/>
    </xf>
    <xf numFmtId="0" fontId="0" fillId="28" borderId="0" xfId="0" applyFill="1" applyAlignment="1" applyProtection="1">
      <alignment wrapText="1"/>
    </xf>
    <xf numFmtId="0" fontId="0" fillId="29" borderId="0" xfId="0" applyFill="1" applyAlignment="1" applyProtection="1">
      <alignment wrapText="1"/>
    </xf>
    <xf numFmtId="0" fontId="0" fillId="19" borderId="0" xfId="0" applyFill="1" applyAlignment="1" applyProtection="1">
      <alignment wrapText="1"/>
    </xf>
    <xf numFmtId="1" fontId="0" fillId="10" borderId="0" xfId="0" applyNumberFormat="1" applyFill="1" applyAlignment="1" applyProtection="1">
      <alignment wrapText="1"/>
    </xf>
    <xf numFmtId="165" fontId="0" fillId="24" borderId="0" xfId="0" applyNumberFormat="1" applyFill="1" applyAlignment="1" applyProtection="1">
      <alignment wrapText="1"/>
    </xf>
    <xf numFmtId="165" fontId="0" fillId="25" borderId="0" xfId="0" applyNumberFormat="1" applyFill="1" applyAlignment="1" applyProtection="1">
      <alignment wrapText="1"/>
    </xf>
    <xf numFmtId="165" fontId="0" fillId="29" borderId="0" xfId="0" applyNumberFormat="1" applyFill="1" applyAlignment="1" applyProtection="1">
      <alignment wrapText="1"/>
    </xf>
    <xf numFmtId="165" fontId="0" fillId="19" borderId="0" xfId="0" applyNumberFormat="1" applyFill="1" applyAlignment="1" applyProtection="1">
      <alignment wrapText="1"/>
    </xf>
    <xf numFmtId="1" fontId="0" fillId="11" borderId="0" xfId="0" applyNumberFormat="1" applyFill="1" applyAlignment="1" applyProtection="1">
      <alignment wrapText="1"/>
    </xf>
    <xf numFmtId="0" fontId="3" fillId="7" borderId="0" xfId="0" applyFont="1" applyFill="1" applyAlignment="1" applyProtection="1">
      <alignment wrapText="1"/>
    </xf>
    <xf numFmtId="0" fontId="0" fillId="7" borderId="0" xfId="0" applyFill="1" applyAlignment="1" applyProtection="1">
      <alignment wrapText="1"/>
    </xf>
    <xf numFmtId="1" fontId="0" fillId="8" borderId="0" xfId="0" applyNumberFormat="1" applyFill="1" applyAlignment="1" applyProtection="1">
      <alignment wrapText="1"/>
    </xf>
    <xf numFmtId="1" fontId="0" fillId="27" borderId="0" xfId="0" applyNumberFormat="1" applyFill="1" applyAlignment="1" applyProtection="1">
      <alignment wrapText="1"/>
    </xf>
    <xf numFmtId="1" fontId="0" fillId="24" borderId="0" xfId="0" applyNumberFormat="1" applyFill="1" applyAlignment="1" applyProtection="1">
      <alignment wrapText="1"/>
    </xf>
    <xf numFmtId="1" fontId="0" fillId="25" borderId="0" xfId="0" applyNumberFormat="1" applyFill="1" applyAlignment="1" applyProtection="1">
      <alignment wrapText="1"/>
    </xf>
    <xf numFmtId="1" fontId="0" fillId="29" borderId="0" xfId="0" applyNumberFormat="1" applyFill="1" applyAlignment="1" applyProtection="1">
      <alignment wrapText="1"/>
    </xf>
    <xf numFmtId="1" fontId="0" fillId="19" borderId="0" xfId="0" applyNumberFormat="1" applyFill="1" applyAlignment="1" applyProtection="1">
      <alignment wrapText="1"/>
    </xf>
    <xf numFmtId="165" fontId="0" fillId="9" borderId="0" xfId="0" applyNumberFormat="1" applyFill="1" applyAlignment="1" applyProtection="1">
      <alignment wrapText="1"/>
    </xf>
    <xf numFmtId="1" fontId="0" fillId="9" borderId="0" xfId="0" applyNumberFormat="1" applyFill="1" applyAlignment="1" applyProtection="1">
      <alignment wrapText="1"/>
    </xf>
    <xf numFmtId="165" fontId="0" fillId="30" borderId="0" xfId="0" applyNumberFormat="1" applyFill="1" applyAlignment="1" applyProtection="1">
      <alignment wrapText="1"/>
    </xf>
    <xf numFmtId="1" fontId="0" fillId="30" borderId="0" xfId="0" applyNumberFormat="1" applyFill="1" applyAlignment="1" applyProtection="1">
      <alignment wrapText="1"/>
    </xf>
    <xf numFmtId="165" fontId="0" fillId="28" borderId="0" xfId="0" applyNumberFormat="1" applyFill="1" applyAlignment="1" applyProtection="1">
      <alignment wrapText="1"/>
    </xf>
    <xf numFmtId="1" fontId="0" fillId="28" borderId="0" xfId="0" applyNumberFormat="1" applyFill="1" applyAlignment="1" applyProtection="1">
      <alignment wrapText="1"/>
    </xf>
    <xf numFmtId="0" fontId="13" fillId="23" borderId="0" xfId="0" applyFont="1" applyFill="1" applyAlignment="1" applyProtection="1">
      <alignment wrapText="1"/>
    </xf>
    <xf numFmtId="0" fontId="2" fillId="23" borderId="0" xfId="0" applyFont="1" applyFill="1" applyProtection="1"/>
    <xf numFmtId="167" fontId="2" fillId="23" borderId="0" xfId="4" applyNumberFormat="1" applyFont="1" applyFill="1" applyProtection="1"/>
    <xf numFmtId="167" fontId="15" fillId="23" borderId="0" xfId="4" applyNumberFormat="1" applyFont="1" applyFill="1" applyAlignment="1" applyProtection="1">
      <alignment horizontal="center" vertical="center"/>
    </xf>
    <xf numFmtId="167" fontId="2" fillId="23" borderId="0" xfId="4" applyNumberFormat="1" applyFont="1" applyFill="1" applyAlignment="1" applyProtection="1">
      <alignment wrapText="1"/>
    </xf>
    <xf numFmtId="0" fontId="2" fillId="0" borderId="0" xfId="0" applyFont="1" applyFill="1" applyAlignment="1" applyProtection="1">
      <alignment wrapText="1"/>
    </xf>
    <xf numFmtId="0" fontId="2" fillId="0" borderId="0" xfId="0" applyFont="1" applyFill="1" applyProtection="1"/>
    <xf numFmtId="1" fontId="15" fillId="0" borderId="0" xfId="0" applyNumberFormat="1" applyFont="1" applyFill="1" applyAlignment="1" applyProtection="1">
      <alignment horizontal="center" vertical="center"/>
    </xf>
    <xf numFmtId="167" fontId="15" fillId="13" borderId="0" xfId="4" applyNumberFormat="1" applyFont="1" applyFill="1" applyAlignment="1" applyProtection="1">
      <alignment vertical="center"/>
    </xf>
    <xf numFmtId="167" fontId="2" fillId="13" borderId="0" xfId="4" applyNumberFormat="1" applyFont="1" applyFill="1" applyProtection="1"/>
    <xf numFmtId="167" fontId="15" fillId="13" borderId="0" xfId="4" applyNumberFormat="1" applyFont="1" applyFill="1" applyAlignment="1" applyProtection="1">
      <alignment horizontal="center" vertical="center"/>
    </xf>
    <xf numFmtId="167" fontId="13" fillId="13" borderId="0" xfId="4" applyNumberFormat="1" applyFont="1" applyFill="1" applyAlignment="1" applyProtection="1">
      <alignment horizontal="center" vertical="center"/>
    </xf>
    <xf numFmtId="0" fontId="5" fillId="0" borderId="0" xfId="0" applyFont="1" applyFill="1" applyProtection="1"/>
    <xf numFmtId="43" fontId="0" fillId="0" borderId="0" xfId="0" applyNumberFormat="1" applyFill="1" applyProtection="1"/>
    <xf numFmtId="165" fontId="0" fillId="0" borderId="0" xfId="0" applyNumberFormat="1" applyFill="1" applyProtection="1"/>
    <xf numFmtId="0" fontId="9" fillId="0" borderId="0" xfId="0" applyFont="1" applyProtection="1"/>
    <xf numFmtId="0" fontId="13" fillId="0" borderId="0" xfId="0" applyFont="1" applyFill="1" applyAlignment="1" applyProtection="1">
      <alignment horizontal="left" vertical="center"/>
    </xf>
    <xf numFmtId="0" fontId="38" fillId="16" borderId="0" xfId="0" applyFont="1" applyFill="1" applyAlignment="1" applyProtection="1">
      <alignment wrapText="1"/>
    </xf>
    <xf numFmtId="1" fontId="0" fillId="0" borderId="0" xfId="0" applyNumberFormat="1" applyFill="1" applyProtection="1"/>
    <xf numFmtId="0" fontId="40" fillId="0" borderId="0" xfId="0" applyFont="1" applyProtection="1"/>
    <xf numFmtId="0" fontId="2" fillId="0" borderId="0" xfId="0" applyFont="1" applyAlignment="1" applyProtection="1">
      <alignment wrapText="1"/>
    </xf>
    <xf numFmtId="0" fontId="2" fillId="0" borderId="0" xfId="0" applyFont="1" applyProtection="1"/>
    <xf numFmtId="0" fontId="0" fillId="19" borderId="0" xfId="0" applyFill="1" applyProtection="1"/>
    <xf numFmtId="1" fontId="0" fillId="19" borderId="0" xfId="0" applyNumberFormat="1" applyFill="1" applyProtection="1"/>
    <xf numFmtId="2" fontId="0" fillId="19" borderId="0" xfId="0" applyNumberFormat="1" applyFill="1" applyProtection="1"/>
    <xf numFmtId="1" fontId="2" fillId="0" borderId="0" xfId="0" applyNumberFormat="1" applyFont="1" applyProtection="1"/>
    <xf numFmtId="0" fontId="0" fillId="20" borderId="0" xfId="0" applyFill="1" applyProtection="1"/>
    <xf numFmtId="1" fontId="0" fillId="20" borderId="0" xfId="0" applyNumberFormat="1" applyFill="1" applyProtection="1"/>
    <xf numFmtId="2" fontId="0" fillId="20" borderId="0" xfId="0" applyNumberFormat="1" applyFill="1" applyProtection="1"/>
    <xf numFmtId="49" fontId="38" fillId="16" borderId="0" xfId="0" applyNumberFormat="1" applyFont="1" applyFill="1" applyAlignment="1" applyProtection="1">
      <alignment vertical="center" wrapText="1"/>
    </xf>
    <xf numFmtId="49" fontId="38" fillId="16" borderId="0" xfId="0" applyNumberFormat="1" applyFont="1" applyFill="1" applyAlignment="1" applyProtection="1">
      <alignment horizontal="center" vertical="center" wrapText="1"/>
    </xf>
    <xf numFmtId="0" fontId="38" fillId="16" borderId="0" xfId="0" applyNumberFormat="1" applyFont="1" applyFill="1" applyAlignment="1" applyProtection="1">
      <alignment horizontal="center" vertical="center" wrapText="1"/>
    </xf>
    <xf numFmtId="49" fontId="0" fillId="19" borderId="0" xfId="0" applyNumberFormat="1" applyFill="1" applyProtection="1"/>
    <xf numFmtId="1" fontId="0" fillId="19" borderId="0" xfId="0" applyNumberFormat="1" applyFill="1" applyAlignment="1" applyProtection="1">
      <alignment horizontal="center" vertical="center"/>
    </xf>
    <xf numFmtId="0" fontId="0" fillId="19" borderId="0" xfId="0" applyNumberFormat="1" applyFill="1" applyAlignment="1" applyProtection="1">
      <alignment horizontal="center" vertical="center"/>
    </xf>
    <xf numFmtId="49" fontId="0" fillId="20" borderId="0" xfId="0" applyNumberFormat="1" applyFill="1" applyProtection="1"/>
    <xf numFmtId="1" fontId="0" fillId="20" borderId="0" xfId="0" applyNumberFormat="1" applyFill="1" applyAlignment="1" applyProtection="1">
      <alignment horizontal="center" vertical="center"/>
    </xf>
    <xf numFmtId="0" fontId="0" fillId="20" borderId="0" xfId="0" applyNumberFormat="1" applyFill="1" applyAlignment="1" applyProtection="1">
      <alignment horizontal="center" vertical="center"/>
    </xf>
    <xf numFmtId="0" fontId="43" fillId="0" borderId="0" xfId="0" applyFont="1" applyProtection="1"/>
    <xf numFmtId="49" fontId="0" fillId="8" borderId="0" xfId="0" applyNumberFormat="1" applyFill="1" applyProtection="1"/>
    <xf numFmtId="1" fontId="0" fillId="8" borderId="0" xfId="0" applyNumberFormat="1" applyFill="1" applyAlignment="1" applyProtection="1">
      <alignment horizontal="center" vertical="center"/>
    </xf>
    <xf numFmtId="0" fontId="0" fillId="8" borderId="0" xfId="0" applyNumberFormat="1" applyFill="1" applyAlignment="1" applyProtection="1">
      <alignment horizontal="center" vertical="center"/>
    </xf>
    <xf numFmtId="0" fontId="0" fillId="20" borderId="0" xfId="0" applyFill="1" applyAlignment="1" applyProtection="1">
      <alignment horizontal="center" vertical="center"/>
    </xf>
    <xf numFmtId="0" fontId="5" fillId="0" borderId="0" xfId="0" applyFont="1" applyFill="1" applyAlignment="1" applyProtection="1">
      <alignment wrapText="1"/>
    </xf>
    <xf numFmtId="0" fontId="8" fillId="0" borderId="0" xfId="0" applyFont="1" applyFill="1" applyBorder="1" applyAlignment="1" applyProtection="1">
      <alignment vertical="center"/>
    </xf>
    <xf numFmtId="0" fontId="8" fillId="0" borderId="0" xfId="0" applyFont="1" applyFill="1" applyBorder="1" applyProtection="1"/>
    <xf numFmtId="0" fontId="0" fillId="0" borderId="0" xfId="0" applyBorder="1" applyProtection="1"/>
    <xf numFmtId="0" fontId="14" fillId="22" borderId="0" xfId="0" applyFont="1" applyFill="1" applyProtection="1"/>
    <xf numFmtId="0" fontId="2" fillId="22" borderId="0" xfId="0" applyFont="1" applyFill="1" applyProtection="1"/>
    <xf numFmtId="0" fontId="0" fillId="22" borderId="0" xfId="0" applyFill="1" applyProtection="1"/>
    <xf numFmtId="0" fontId="34" fillId="22" borderId="0" xfId="0" applyFont="1" applyFill="1" applyAlignment="1" applyProtection="1">
      <alignment wrapText="1"/>
    </xf>
    <xf numFmtId="0" fontId="13" fillId="22" borderId="0" xfId="0" applyFont="1" applyFill="1" applyAlignment="1" applyProtection="1">
      <alignment horizontal="center" vertical="center" wrapText="1"/>
    </xf>
    <xf numFmtId="0" fontId="2" fillId="22" borderId="0" xfId="0" applyFont="1" applyFill="1" applyAlignment="1" applyProtection="1">
      <alignment horizontal="center" vertical="center" wrapText="1"/>
    </xf>
    <xf numFmtId="0" fontId="13" fillId="22" borderId="0" xfId="0" applyFont="1" applyFill="1" applyAlignment="1" applyProtection="1">
      <alignment horizontal="left" vertical="center"/>
    </xf>
    <xf numFmtId="0" fontId="0" fillId="26" borderId="0" xfId="0" applyFill="1" applyAlignment="1" applyProtection="1">
      <alignment horizontal="center" vertical="center"/>
    </xf>
    <xf numFmtId="165" fontId="5" fillId="18" borderId="0" xfId="0" applyNumberFormat="1" applyFont="1" applyFill="1" applyAlignment="1" applyProtection="1">
      <alignment horizontal="center" vertical="center"/>
    </xf>
    <xf numFmtId="0" fontId="26" fillId="26" borderId="0" xfId="0" applyFont="1" applyFill="1" applyAlignment="1" applyProtection="1">
      <alignment horizontal="left" vertical="center"/>
    </xf>
    <xf numFmtId="0" fontId="0" fillId="26" borderId="0" xfId="0" applyFill="1" applyAlignment="1" applyProtection="1">
      <alignment horizontal="left" vertical="center"/>
    </xf>
    <xf numFmtId="0" fontId="0" fillId="26" borderId="0" xfId="0" applyFill="1" applyProtection="1"/>
    <xf numFmtId="165" fontId="2" fillId="0" borderId="0" xfId="0" applyNumberFormat="1" applyFont="1" applyProtection="1"/>
    <xf numFmtId="0" fontId="13" fillId="22" borderId="0" xfId="0" applyFont="1" applyFill="1" applyAlignment="1" applyProtection="1">
      <alignment vertical="center"/>
    </xf>
    <xf numFmtId="0" fontId="5" fillId="18" borderId="0" xfId="0" applyFont="1" applyFill="1" applyAlignment="1" applyProtection="1">
      <alignment horizontal="center" vertical="center"/>
    </xf>
    <xf numFmtId="0" fontId="0" fillId="22" borderId="0" xfId="0" applyFill="1" applyAlignment="1" applyProtection="1">
      <alignment horizontal="center" vertical="center"/>
    </xf>
    <xf numFmtId="0" fontId="13" fillId="22" borderId="0" xfId="0" applyFont="1" applyFill="1" applyProtection="1"/>
    <xf numFmtId="0" fontId="0" fillId="0" borderId="0" xfId="0" applyAlignment="1" applyProtection="1">
      <alignment horizontal="left"/>
    </xf>
    <xf numFmtId="0" fontId="13" fillId="0" borderId="0" xfId="0" applyFont="1" applyFill="1" applyAlignment="1" applyProtection="1">
      <alignment vertical="top" wrapText="1"/>
    </xf>
    <xf numFmtId="0" fontId="3" fillId="0" borderId="0" xfId="0" applyFont="1" applyFill="1" applyAlignment="1" applyProtection="1">
      <alignment horizontal="left" vertical="top" wrapText="1"/>
    </xf>
    <xf numFmtId="0" fontId="45" fillId="22" borderId="0" xfId="0" applyFont="1" applyFill="1" applyAlignment="1" applyProtection="1"/>
    <xf numFmtId="165" fontId="0" fillId="22" borderId="0" xfId="0" applyNumberFormat="1" applyFill="1" applyAlignment="1" applyProtection="1"/>
    <xf numFmtId="0" fontId="30" fillId="0" borderId="0" xfId="0" applyFont="1" applyFill="1" applyProtection="1"/>
    <xf numFmtId="0" fontId="32" fillId="22" borderId="0" xfId="0" applyFont="1" applyFill="1" applyProtection="1"/>
    <xf numFmtId="0" fontId="33" fillId="22" borderId="0" xfId="0" applyFont="1" applyFill="1" applyProtection="1"/>
    <xf numFmtId="0" fontId="5" fillId="18" borderId="0" xfId="0" applyFont="1" applyFill="1" applyAlignment="1" applyProtection="1">
      <alignment wrapText="1"/>
    </xf>
    <xf numFmtId="0" fontId="5" fillId="18" borderId="0" xfId="0" applyFont="1" applyFill="1" applyProtection="1"/>
    <xf numFmtId="0" fontId="0" fillId="18" borderId="0" xfId="0" applyFill="1" applyAlignment="1" applyProtection="1">
      <alignment horizontal="left"/>
    </xf>
    <xf numFmtId="0" fontId="30" fillId="26" borderId="0" xfId="0" applyFont="1" applyFill="1" applyProtection="1"/>
    <xf numFmtId="0" fontId="5" fillId="7" borderId="0" xfId="0" applyFont="1" applyFill="1" applyAlignment="1" applyProtection="1">
      <alignment vertical="center" wrapText="1"/>
    </xf>
    <xf numFmtId="0" fontId="12" fillId="7" borderId="0" xfId="3" applyFont="1" applyFill="1" applyAlignment="1" applyProtection="1">
      <alignment wrapText="1"/>
    </xf>
    <xf numFmtId="0" fontId="5" fillId="7" borderId="0" xfId="0" applyFont="1" applyFill="1" applyProtection="1"/>
    <xf numFmtId="0" fontId="0" fillId="7" borderId="0" xfId="0" applyFont="1" applyFill="1" applyProtection="1"/>
    <xf numFmtId="0" fontId="0" fillId="7" borderId="0" xfId="0" applyFill="1" applyProtection="1"/>
    <xf numFmtId="166" fontId="0" fillId="7" borderId="0" xfId="0" applyNumberFormat="1" applyFill="1" applyProtection="1"/>
    <xf numFmtId="0" fontId="0" fillId="7" borderId="0" xfId="0" applyFill="1" applyAlignment="1" applyProtection="1">
      <alignment horizontal="left" vertical="center"/>
    </xf>
    <xf numFmtId="0" fontId="28" fillId="2" borderId="7" xfId="0" applyFont="1" applyFill="1" applyBorder="1" applyAlignment="1" applyProtection="1">
      <alignment horizontal="center" wrapText="1"/>
    </xf>
    <xf numFmtId="0" fontId="28" fillId="2" borderId="8" xfId="0" applyFont="1" applyFill="1" applyBorder="1" applyAlignment="1" applyProtection="1">
      <alignment horizontal="center" wrapText="1"/>
    </xf>
    <xf numFmtId="0" fontId="28" fillId="2" borderId="9" xfId="0" applyFont="1" applyFill="1" applyBorder="1" applyAlignment="1" applyProtection="1">
      <alignment horizontal="center" wrapText="1"/>
    </xf>
    <xf numFmtId="0" fontId="28" fillId="2" borderId="2" xfId="0" applyFont="1" applyFill="1" applyBorder="1" applyAlignment="1" applyProtection="1">
      <alignment wrapText="1"/>
    </xf>
    <xf numFmtId="0" fontId="28" fillId="2" borderId="1" xfId="0" applyFont="1" applyFill="1" applyBorder="1" applyProtection="1"/>
    <xf numFmtId="0" fontId="3" fillId="2" borderId="1" xfId="0" applyFont="1" applyFill="1" applyBorder="1" applyProtection="1"/>
    <xf numFmtId="0" fontId="28" fillId="2" borderId="1" xfId="0" applyFont="1" applyFill="1" applyBorder="1" applyAlignment="1" applyProtection="1">
      <alignment horizontal="center"/>
    </xf>
    <xf numFmtId="0" fontId="28" fillId="2" borderId="3" xfId="1" applyFont="1" applyFill="1" applyBorder="1" applyAlignment="1" applyProtection="1">
      <alignment horizontal="center"/>
    </xf>
    <xf numFmtId="0" fontId="3" fillId="5" borderId="2" xfId="0" applyFont="1" applyFill="1" applyBorder="1" applyAlignment="1" applyProtection="1">
      <alignment wrapText="1"/>
    </xf>
    <xf numFmtId="165" fontId="3" fillId="6" borderId="1" xfId="0" applyNumberFormat="1" applyFont="1" applyFill="1" applyBorder="1" applyAlignment="1" applyProtection="1">
      <alignment wrapText="1"/>
    </xf>
    <xf numFmtId="165" fontId="3" fillId="6" borderId="1" xfId="0" applyNumberFormat="1" applyFont="1" applyFill="1" applyBorder="1" applyProtection="1"/>
    <xf numFmtId="0" fontId="3" fillId="5" borderId="1" xfId="0" applyFont="1" applyFill="1" applyBorder="1" applyProtection="1"/>
    <xf numFmtId="0" fontId="3" fillId="6" borderId="1" xfId="0" applyFont="1" applyFill="1" applyBorder="1" applyAlignment="1" applyProtection="1">
      <alignment horizontal="center"/>
    </xf>
    <xf numFmtId="1" fontId="0" fillId="21" borderId="3" xfId="0" applyNumberFormat="1" applyFont="1" applyFill="1" applyBorder="1" applyAlignment="1" applyProtection="1">
      <alignment horizontal="center" vertical="center"/>
    </xf>
    <xf numFmtId="0" fontId="3" fillId="5" borderId="1" xfId="0" applyFont="1" applyFill="1" applyBorder="1" applyAlignment="1" applyProtection="1">
      <alignment horizontal="center"/>
    </xf>
    <xf numFmtId="0" fontId="3" fillId="6" borderId="1" xfId="0" applyFont="1" applyFill="1" applyBorder="1" applyAlignment="1" applyProtection="1">
      <alignment wrapText="1"/>
    </xf>
    <xf numFmtId="0" fontId="3" fillId="5" borderId="4" xfId="0" applyFont="1" applyFill="1" applyBorder="1" applyAlignment="1" applyProtection="1">
      <alignment wrapText="1"/>
    </xf>
    <xf numFmtId="0" fontId="3" fillId="6" borderId="5" xfId="0" applyFont="1" applyFill="1" applyBorder="1" applyAlignment="1" applyProtection="1">
      <alignment wrapText="1"/>
    </xf>
    <xf numFmtId="165" fontId="3" fillId="6" borderId="5" xfId="0" applyNumberFormat="1" applyFont="1" applyFill="1" applyBorder="1" applyProtection="1"/>
    <xf numFmtId="0" fontId="3" fillId="5" borderId="5" xfId="0" applyFont="1" applyFill="1" applyBorder="1" applyProtection="1"/>
    <xf numFmtId="0" fontId="3" fillId="6" borderId="5" xfId="0" applyFont="1" applyFill="1" applyBorder="1" applyAlignment="1" applyProtection="1">
      <alignment horizontal="center"/>
    </xf>
    <xf numFmtId="0" fontId="0" fillId="21" borderId="6" xfId="0" applyFont="1" applyFill="1" applyBorder="1" applyAlignment="1" applyProtection="1">
      <alignment horizontal="center" vertical="center"/>
    </xf>
    <xf numFmtId="0" fontId="28" fillId="5" borderId="5" xfId="0" applyFont="1" applyFill="1" applyBorder="1" applyAlignment="1" applyProtection="1">
      <alignment horizontal="center"/>
    </xf>
    <xf numFmtId="0" fontId="26" fillId="0" borderId="0" xfId="0" applyFont="1" applyProtection="1"/>
    <xf numFmtId="0" fontId="27" fillId="0" borderId="0" xfId="3" applyFont="1" applyAlignment="1" applyProtection="1">
      <alignment vertical="center"/>
    </xf>
    <xf numFmtId="0" fontId="21" fillId="12" borderId="17" xfId="0" applyFont="1" applyFill="1" applyBorder="1" applyAlignment="1" applyProtection="1">
      <alignment horizontal="left" vertical="center" wrapText="1"/>
    </xf>
    <xf numFmtId="0" fontId="24" fillId="12" borderId="12" xfId="0" applyFont="1" applyFill="1" applyBorder="1" applyAlignment="1" applyProtection="1">
      <alignment horizontal="left" vertical="center" wrapText="1"/>
    </xf>
    <xf numFmtId="0" fontId="21" fillId="12" borderId="1" xfId="0" applyFont="1" applyFill="1" applyBorder="1" applyAlignment="1" applyProtection="1">
      <alignment horizontal="left" vertical="center" wrapText="1"/>
    </xf>
    <xf numFmtId="0" fontId="8" fillId="14" borderId="1" xfId="0" applyFont="1" applyFill="1" applyBorder="1" applyAlignment="1" applyProtection="1">
      <alignment vertical="center"/>
    </xf>
    <xf numFmtId="0" fontId="0" fillId="14" borderId="1" xfId="0" applyFill="1" applyBorder="1" applyProtection="1"/>
    <xf numFmtId="0" fontId="5" fillId="31" borderId="0" xfId="0" applyFont="1" applyFill="1" applyAlignment="1" applyProtection="1">
      <alignment horizontal="left" vertical="center"/>
    </xf>
    <xf numFmtId="0" fontId="0" fillId="31" borderId="0" xfId="0" applyFont="1" applyFill="1" applyProtection="1"/>
    <xf numFmtId="0" fontId="0" fillId="31" borderId="0" xfId="0" applyFill="1" applyAlignment="1" applyProtection="1">
      <alignment horizontal="center"/>
    </xf>
    <xf numFmtId="0" fontId="0" fillId="31" borderId="0" xfId="0" applyFill="1" applyProtection="1"/>
    <xf numFmtId="0" fontId="0" fillId="14" borderId="1" xfId="0" applyNumberFormat="1" applyFill="1" applyBorder="1" applyAlignment="1" applyProtection="1">
      <alignment horizontal="center"/>
    </xf>
    <xf numFmtId="0" fontId="0" fillId="14" borderId="14" xfId="0" applyFill="1" applyBorder="1" applyProtection="1"/>
    <xf numFmtId="0" fontId="8" fillId="14" borderId="1" xfId="0" applyFont="1" applyFill="1" applyBorder="1" applyProtection="1"/>
    <xf numFmtId="0" fontId="15" fillId="15" borderId="25" xfId="0" applyFont="1" applyFill="1" applyBorder="1" applyAlignment="1" applyProtection="1">
      <alignment horizontal="center" vertical="center"/>
    </xf>
    <xf numFmtId="0" fontId="48"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left"/>
    </xf>
    <xf numFmtId="0" fontId="48" fillId="32" borderId="0" xfId="0" applyFont="1" applyFill="1" applyAlignment="1" applyProtection="1">
      <alignment horizontal="center" vertical="center"/>
    </xf>
    <xf numFmtId="0" fontId="15" fillId="15" borderId="7" xfId="0" applyFont="1" applyFill="1" applyBorder="1" applyAlignment="1" applyProtection="1">
      <alignment horizontal="center" vertical="center"/>
    </xf>
    <xf numFmtId="0" fontId="0" fillId="17" borderId="29" xfId="0" applyFill="1" applyBorder="1" applyAlignment="1" applyProtection="1">
      <alignment horizontal="left" vertical="center"/>
    </xf>
    <xf numFmtId="0" fontId="0" fillId="17" borderId="29" xfId="0" applyFont="1" applyFill="1" applyBorder="1" applyAlignment="1" applyProtection="1">
      <alignment horizontal="left" vertical="center"/>
    </xf>
    <xf numFmtId="0" fontId="0" fillId="17" borderId="30" xfId="0" applyFill="1" applyBorder="1" applyAlignment="1" applyProtection="1">
      <alignment horizontal="left" vertical="center"/>
    </xf>
    <xf numFmtId="0" fontId="15" fillId="15" borderId="31" xfId="0" applyFont="1" applyFill="1" applyBorder="1" applyAlignment="1" applyProtection="1">
      <alignment horizontal="left" vertical="center"/>
    </xf>
    <xf numFmtId="0" fontId="0" fillId="17" borderId="32" xfId="0" applyFill="1" applyBorder="1" applyAlignment="1" applyProtection="1">
      <alignment horizontal="left" vertical="center"/>
    </xf>
    <xf numFmtId="0" fontId="0" fillId="17" borderId="30" xfId="0" applyFont="1" applyFill="1" applyBorder="1" applyAlignment="1" applyProtection="1">
      <alignment horizontal="left" vertical="center"/>
    </xf>
    <xf numFmtId="0" fontId="47" fillId="4" borderId="33" xfId="0" applyFont="1" applyFill="1" applyBorder="1" applyAlignment="1" applyProtection="1">
      <alignment horizontal="center" vertical="center" wrapText="1"/>
      <protection locked="0"/>
    </xf>
    <xf numFmtId="0" fontId="47" fillId="4" borderId="33" xfId="0" applyFont="1" applyFill="1" applyBorder="1" applyAlignment="1" applyProtection="1">
      <alignment horizontal="center" vertical="center"/>
      <protection locked="0"/>
    </xf>
    <xf numFmtId="0" fontId="47" fillId="4" borderId="12" xfId="0" applyFont="1"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2" fontId="0" fillId="4" borderId="14" xfId="0" applyNumberFormat="1" applyFill="1" applyBorder="1" applyAlignment="1" applyProtection="1">
      <alignment horizontal="center" vertical="center"/>
      <protection locked="0"/>
    </xf>
    <xf numFmtId="9" fontId="0" fillId="4" borderId="14" xfId="5" applyFont="1" applyFill="1" applyBorder="1" applyAlignment="1" applyProtection="1">
      <alignment horizontal="center" vertical="center"/>
      <protection locked="0"/>
    </xf>
    <xf numFmtId="0" fontId="0" fillId="4" borderId="26" xfId="0" applyFill="1" applyBorder="1" applyAlignment="1" applyProtection="1">
      <alignment horizontal="center" vertical="center"/>
      <protection locked="0"/>
    </xf>
    <xf numFmtId="0" fontId="15" fillId="15" borderId="27" xfId="0" applyFont="1" applyFill="1" applyBorder="1" applyAlignment="1" applyProtection="1">
      <alignment horizontal="center" vertical="center"/>
    </xf>
    <xf numFmtId="0" fontId="0" fillId="4" borderId="28" xfId="0" applyFill="1" applyBorder="1" applyAlignment="1" applyProtection="1">
      <alignment horizontal="center" vertical="center"/>
      <protection locked="0"/>
    </xf>
    <xf numFmtId="0" fontId="0" fillId="4" borderId="27" xfId="0" applyFill="1" applyBorder="1" applyAlignment="1" applyProtection="1">
      <alignment horizontal="center" vertical="center"/>
      <protection locked="0"/>
    </xf>
    <xf numFmtId="165" fontId="0" fillId="4" borderId="14" xfId="0" applyNumberFormat="1" applyFill="1" applyBorder="1" applyAlignment="1" applyProtection="1">
      <alignment horizontal="center" vertical="center"/>
      <protection locked="0"/>
    </xf>
    <xf numFmtId="0" fontId="13" fillId="33" borderId="1" xfId="0" applyNumberFormat="1" applyFont="1" applyFill="1" applyBorder="1" applyAlignment="1" applyProtection="1">
      <alignment horizontal="center" vertical="center"/>
    </xf>
    <xf numFmtId="0" fontId="13" fillId="15" borderId="19" xfId="0" applyFont="1" applyFill="1" applyBorder="1" applyAlignment="1" applyProtection="1">
      <alignment horizontal="center" vertical="center"/>
    </xf>
    <xf numFmtId="0" fontId="48" fillId="0" borderId="0" xfId="0" applyFont="1" applyFill="1" applyAlignment="1" applyProtection="1">
      <alignment horizontal="center" vertical="center"/>
    </xf>
    <xf numFmtId="0" fontId="48" fillId="0" borderId="0" xfId="0" applyFont="1" applyFill="1" applyAlignment="1" applyProtection="1">
      <alignment horizontal="left" vertical="center"/>
    </xf>
    <xf numFmtId="0" fontId="52" fillId="15" borderId="15"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14" borderId="1" xfId="0" applyFont="1" applyFill="1" applyBorder="1" applyAlignment="1" applyProtection="1">
      <alignment horizontal="center" vertical="center"/>
    </xf>
    <xf numFmtId="0" fontId="3" fillId="9" borderId="1" xfId="0" applyFont="1" applyFill="1" applyBorder="1" applyAlignment="1" applyProtection="1">
      <alignment horizontal="center" vertical="center"/>
    </xf>
    <xf numFmtId="43" fontId="0" fillId="0" borderId="1" xfId="0" applyNumberFormat="1" applyFont="1" applyBorder="1" applyAlignment="1" applyProtection="1">
      <alignment horizontal="center" vertical="center"/>
    </xf>
    <xf numFmtId="0" fontId="0" fillId="0" borderId="1" xfId="0" applyFont="1" applyBorder="1" applyAlignment="1" applyProtection="1">
      <alignment horizontal="center" vertical="center"/>
    </xf>
    <xf numFmtId="0" fontId="2" fillId="0" borderId="0" xfId="0" applyFont="1" applyBorder="1" applyAlignment="1" applyProtection="1">
      <alignment horizontal="center" vertical="center"/>
    </xf>
    <xf numFmtId="165" fontId="0" fillId="18" borderId="0" xfId="0" applyNumberFormat="1" applyFill="1" applyAlignment="1" applyProtection="1">
      <alignment horizontal="center" vertical="center"/>
    </xf>
    <xf numFmtId="0" fontId="2" fillId="22" borderId="1" xfId="0" applyFont="1" applyFill="1" applyBorder="1" applyProtection="1"/>
    <xf numFmtId="0" fontId="13" fillId="22" borderId="1" xfId="0" applyFont="1" applyFill="1" applyBorder="1" applyAlignment="1" applyProtection="1">
      <alignment horizontal="center" vertical="center" wrapText="1"/>
    </xf>
    <xf numFmtId="0" fontId="13" fillId="33" borderId="1" xfId="0" applyFont="1" applyFill="1" applyBorder="1" applyAlignment="1" applyProtection="1">
      <alignment horizontal="center" vertical="center"/>
    </xf>
    <xf numFmtId="0" fontId="13" fillId="22" borderId="1"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52" fillId="33" borderId="0" xfId="0" applyFont="1" applyFill="1" applyAlignment="1" applyProtection="1">
      <alignment horizontal="center" vertical="center"/>
    </xf>
    <xf numFmtId="165" fontId="52" fillId="33" borderId="1" xfId="0" applyNumberFormat="1" applyFont="1" applyFill="1" applyBorder="1" applyAlignment="1" applyProtection="1">
      <alignment horizontal="center" vertical="center"/>
    </xf>
    <xf numFmtId="2" fontId="0" fillId="2" borderId="0" xfId="0" applyNumberFormat="1" applyFill="1" applyAlignment="1" applyProtection="1">
      <alignment horizontal="right" vertical="center"/>
    </xf>
    <xf numFmtId="0" fontId="2" fillId="0" borderId="0" xfId="0" applyFont="1" applyAlignment="1" applyProtection="1">
      <alignment horizontal="left" vertical="center"/>
    </xf>
    <xf numFmtId="2" fontId="2" fillId="0" borderId="0" xfId="0" applyNumberFormat="1" applyFont="1" applyAlignment="1" applyProtection="1">
      <alignment horizontal="center" vertical="center"/>
    </xf>
    <xf numFmtId="167" fontId="0" fillId="0" borderId="0" xfId="5" applyNumberFormat="1" applyFont="1" applyFill="1" applyAlignment="1" applyProtection="1">
      <alignment horizontal="center" vertical="center"/>
    </xf>
    <xf numFmtId="164" fontId="0" fillId="2" borderId="0" xfId="4" applyNumberFormat="1" applyFont="1" applyFill="1" applyAlignment="1" applyProtection="1">
      <alignment horizontal="right" vertical="center"/>
    </xf>
    <xf numFmtId="167" fontId="0" fillId="14" borderId="1" xfId="4" applyNumberFormat="1" applyFont="1" applyFill="1" applyBorder="1" applyAlignment="1" applyProtection="1">
      <alignment horizontal="center" vertical="center"/>
    </xf>
    <xf numFmtId="0" fontId="0" fillId="34" borderId="0" xfId="0" applyFill="1" applyAlignment="1" applyProtection="1">
      <alignment horizontal="left"/>
    </xf>
    <xf numFmtId="0" fontId="0" fillId="34" borderId="0" xfId="0" applyFill="1" applyAlignment="1" applyProtection="1">
      <alignment horizontal="center" vertical="center"/>
    </xf>
    <xf numFmtId="167" fontId="16" fillId="34" borderId="0" xfId="4" applyNumberFormat="1" applyFont="1" applyFill="1" applyAlignment="1" applyProtection="1">
      <alignment horizontal="right" vertical="center"/>
    </xf>
    <xf numFmtId="0" fontId="56" fillId="16" borderId="0" xfId="0" applyFont="1" applyFill="1" applyAlignment="1" applyProtection="1">
      <alignment horizontal="left" vertical="center"/>
    </xf>
    <xf numFmtId="3" fontId="20" fillId="16" borderId="0" xfId="0" applyNumberFormat="1" applyFont="1" applyFill="1" applyAlignment="1" applyProtection="1">
      <alignment horizontal="right" vertical="center"/>
    </xf>
    <xf numFmtId="3" fontId="55" fillId="16" borderId="0" xfId="0" applyNumberFormat="1" applyFont="1" applyFill="1" applyAlignment="1" applyProtection="1">
      <alignment horizontal="left" vertical="center"/>
    </xf>
    <xf numFmtId="9" fontId="55" fillId="16" borderId="0" xfId="5" applyFont="1" applyFill="1" applyAlignment="1" applyProtection="1">
      <alignment horizontal="left" vertical="center"/>
    </xf>
    <xf numFmtId="164" fontId="0" fillId="0" borderId="0" xfId="0" applyNumberFormat="1" applyAlignment="1" applyProtection="1">
      <alignment horizontal="center" vertical="center"/>
    </xf>
    <xf numFmtId="9" fontId="56" fillId="17" borderId="11" xfId="5" applyFont="1" applyFill="1" applyBorder="1" applyAlignment="1" applyProtection="1">
      <alignment horizontal="center" vertical="center"/>
    </xf>
    <xf numFmtId="0" fontId="57" fillId="16" borderId="0" xfId="0" applyFont="1" applyFill="1" applyAlignment="1" applyProtection="1">
      <alignment horizontal="left" vertical="center"/>
    </xf>
    <xf numFmtId="0" fontId="58" fillId="16" borderId="0" xfId="0" applyFont="1" applyFill="1" applyAlignment="1" applyProtection="1">
      <alignment horizontal="left" vertical="center"/>
    </xf>
    <xf numFmtId="172" fontId="58" fillId="16" borderId="0" xfId="0" applyNumberFormat="1" applyFont="1" applyFill="1" applyAlignment="1" applyProtection="1">
      <alignment horizontal="right" vertical="center"/>
    </xf>
    <xf numFmtId="9" fontId="58" fillId="16" borderId="0" xfId="5" applyFont="1" applyFill="1" applyAlignment="1" applyProtection="1">
      <alignment horizontal="right" vertical="center"/>
    </xf>
    <xf numFmtId="165" fontId="58" fillId="16" borderId="0" xfId="0" applyNumberFormat="1" applyFont="1" applyFill="1" applyAlignment="1" applyProtection="1">
      <alignment horizontal="center" vertical="center"/>
    </xf>
    <xf numFmtId="167" fontId="58" fillId="16" borderId="0" xfId="4" applyNumberFormat="1" applyFont="1" applyFill="1" applyAlignment="1" applyProtection="1">
      <alignment horizontal="right" vertical="center"/>
    </xf>
    <xf numFmtId="1" fontId="58" fillId="16" borderId="0" xfId="0" applyNumberFormat="1" applyFont="1" applyFill="1" applyAlignment="1" applyProtection="1">
      <alignment horizontal="right" vertical="center"/>
    </xf>
    <xf numFmtId="0" fontId="59" fillId="0" borderId="0" xfId="0" applyFont="1" applyAlignment="1" applyProtection="1">
      <alignment horizontal="center" vertical="center"/>
    </xf>
    <xf numFmtId="0" fontId="59" fillId="0" borderId="0" xfId="0" applyFont="1" applyFill="1" applyBorder="1" applyAlignment="1" applyProtection="1">
      <alignment horizontal="center" vertical="center"/>
    </xf>
    <xf numFmtId="0" fontId="60" fillId="0" borderId="0" xfId="0" applyFont="1" applyFill="1" applyBorder="1" applyProtection="1"/>
    <xf numFmtId="0" fontId="61" fillId="0" borderId="0" xfId="0" applyFont="1" applyFill="1" applyBorder="1" applyAlignment="1" applyProtection="1">
      <alignment horizontal="center" vertical="center"/>
    </xf>
    <xf numFmtId="0" fontId="61" fillId="0" borderId="0" xfId="0" applyFont="1" applyFill="1" applyBorder="1" applyAlignment="1" applyProtection="1">
      <alignment horizontal="left" vertical="center"/>
    </xf>
    <xf numFmtId="0" fontId="59" fillId="0" borderId="0" xfId="0" applyFont="1" applyFill="1" applyBorder="1" applyAlignment="1" applyProtection="1">
      <alignment vertical="center"/>
    </xf>
    <xf numFmtId="0" fontId="59" fillId="0" borderId="0" xfId="0" applyFont="1" applyFill="1" applyBorder="1" applyAlignment="1" applyProtection="1">
      <alignment horizontal="left" vertical="center"/>
    </xf>
    <xf numFmtId="0" fontId="59" fillId="0" borderId="0" xfId="0" applyFont="1" applyFill="1" applyAlignment="1" applyProtection="1">
      <alignment horizontal="center" vertical="center"/>
    </xf>
    <xf numFmtId="0" fontId="60" fillId="0" borderId="0" xfId="0" applyFont="1" applyFill="1" applyProtection="1"/>
    <xf numFmtId="0" fontId="62" fillId="0" borderId="0" xfId="0" applyFont="1" applyFill="1" applyBorder="1" applyAlignment="1" applyProtection="1">
      <alignment horizontal="center" vertical="center"/>
    </xf>
    <xf numFmtId="0" fontId="62" fillId="0" borderId="0" xfId="0" applyFont="1" applyFill="1" applyBorder="1" applyAlignment="1" applyProtection="1">
      <alignment vertical="center"/>
    </xf>
    <xf numFmtId="167" fontId="62" fillId="0" borderId="0" xfId="4" applyNumberFormat="1" applyFont="1" applyFill="1" applyBorder="1" applyAlignment="1" applyProtection="1">
      <alignment horizontal="center" vertical="center"/>
    </xf>
    <xf numFmtId="168" fontId="62" fillId="0" borderId="0" xfId="0" applyNumberFormat="1" applyFont="1" applyFill="1" applyBorder="1" applyAlignment="1" applyProtection="1">
      <alignment horizontal="center" vertical="center"/>
    </xf>
    <xf numFmtId="167" fontId="62" fillId="0" borderId="0" xfId="0" applyNumberFormat="1" applyFont="1" applyFill="1" applyBorder="1" applyAlignment="1" applyProtection="1">
      <alignment horizontal="center" vertical="center"/>
    </xf>
    <xf numFmtId="0" fontId="39" fillId="17" borderId="18" xfId="0" applyFont="1" applyFill="1" applyBorder="1" applyAlignment="1" applyProtection="1">
      <alignment horizontal="center" vertical="center"/>
    </xf>
    <xf numFmtId="0" fontId="39" fillId="17" borderId="14" xfId="0" applyFont="1" applyFill="1" applyBorder="1" applyAlignment="1" applyProtection="1">
      <alignment horizontal="center" vertical="center"/>
    </xf>
    <xf numFmtId="0" fontId="19" fillId="12" borderId="0" xfId="0" applyFont="1" applyFill="1" applyAlignment="1" applyProtection="1">
      <alignment horizontal="center" vertical="top"/>
    </xf>
    <xf numFmtId="0" fontId="22" fillId="27" borderId="0" xfId="0" applyFont="1" applyFill="1" applyAlignment="1" applyProtection="1">
      <alignment vertical="center" wrapText="1"/>
    </xf>
    <xf numFmtId="0" fontId="15" fillId="13" borderId="0" xfId="0" applyFont="1" applyFill="1" applyAlignment="1" applyProtection="1">
      <alignment horizontal="left" vertical="center" wrapText="1"/>
    </xf>
    <xf numFmtId="0" fontId="22" fillId="7" borderId="0" xfId="0" applyFont="1" applyFill="1" applyAlignment="1" applyProtection="1">
      <alignment vertical="center" wrapText="1"/>
    </xf>
    <xf numFmtId="0" fontId="22" fillId="8" borderId="0" xfId="0" applyFont="1" applyFill="1" applyAlignment="1" applyProtection="1">
      <alignment vertical="center" wrapText="1"/>
    </xf>
    <xf numFmtId="0" fontId="22" fillId="10" borderId="0" xfId="0" applyFont="1" applyFill="1" applyAlignment="1" applyProtection="1">
      <alignment vertical="center" wrapText="1"/>
    </xf>
    <xf numFmtId="0" fontId="22" fillId="11" borderId="0" xfId="0" applyFont="1" applyFill="1" applyAlignment="1" applyProtection="1">
      <alignment vertical="center"/>
    </xf>
    <xf numFmtId="0" fontId="5" fillId="9" borderId="0" xfId="0" applyFont="1" applyFill="1" applyAlignment="1" applyProtection="1">
      <alignment vertical="center"/>
    </xf>
    <xf numFmtId="0" fontId="51" fillId="22" borderId="0" xfId="0" applyFont="1" applyFill="1" applyAlignment="1" applyProtection="1">
      <alignment horizontal="left" vertical="top" wrapText="1"/>
    </xf>
    <xf numFmtId="0" fontId="13" fillId="32" borderId="16" xfId="0" applyFont="1" applyFill="1" applyBorder="1" applyAlignment="1" applyProtection="1">
      <alignment horizontal="left" vertical="center"/>
    </xf>
    <xf numFmtId="0" fontId="13" fillId="32" borderId="0" xfId="0" applyFont="1" applyFill="1" applyAlignment="1" applyProtection="1">
      <alignment horizontal="left" vertical="center"/>
    </xf>
  </cellXfs>
  <cellStyles count="6">
    <cellStyle name="Comma" xfId="4" builtinId="3"/>
    <cellStyle name="Hyperlink" xfId="3" builtinId="8"/>
    <cellStyle name="Normal" xfId="0" builtinId="0"/>
    <cellStyle name="Normal 2" xfId="1" xr:uid="{00000000-0005-0000-0000-000003000000}"/>
    <cellStyle name="Normal 3" xfId="2" xr:uid="{00000000-0005-0000-0000-000004000000}"/>
    <cellStyle name="Percent" xfId="5" builtinId="5"/>
  </cellStyles>
  <dxfs count="0"/>
  <tableStyles count="0" defaultTableStyle="TableStyleMedium2" defaultPivotStyle="PivotStyleMedium9"/>
  <colors>
    <mruColors>
      <color rgb="FFFF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Outputs!$A$46</c:f>
              <c:strCache>
                <c:ptCount val="1"/>
                <c:pt idx="0">
                  <c:v>CO2e (Tonnes)</c:v>
                </c:pt>
              </c:strCache>
            </c:strRef>
          </c:tx>
          <c:spPr>
            <a:solidFill>
              <a:schemeClr val="accent1"/>
            </a:solidFill>
            <a:ln>
              <a:noFill/>
            </a:ln>
            <a:effectLst/>
            <a:sp3d/>
          </c:spPr>
          <c:invertIfNegative val="0"/>
          <c:dLbls>
            <c:dLbl>
              <c:idx val="1"/>
              <c:layout>
                <c:manualLayout>
                  <c:x val="1.2111276470405855E-7"/>
                  <c:y val="2.2967375761425925E-7"/>
                </c:manualLayout>
              </c:layout>
              <c:showLegendKey val="0"/>
              <c:showVal val="1"/>
              <c:showCatName val="0"/>
              <c:showSerName val="0"/>
              <c:showPercent val="0"/>
              <c:showBubbleSize val="0"/>
              <c:extLst>
                <c:ext xmlns:c15="http://schemas.microsoft.com/office/drawing/2012/chart" uri="{CE6537A1-D6FC-4f65-9D91-7224C49458BB}">
                  <c15:layout>
                    <c:manualLayout>
                      <c:w val="7.4277489690881465E-2"/>
                      <c:h val="9.4140517160993489E-2"/>
                    </c:manualLayout>
                  </c15:layout>
                </c:ext>
                <c:ext xmlns:c16="http://schemas.microsoft.com/office/drawing/2014/chart" uri="{C3380CC4-5D6E-409C-BE32-E72D297353CC}">
                  <c16:uniqueId val="{00000001-A25A-418F-BE44-5A2304F2B0FC}"/>
                </c:ext>
              </c:extLst>
            </c:dLbl>
            <c:dLbl>
              <c:idx val="2"/>
              <c:layout>
                <c:manualLayout>
                  <c:x val="1.2111276470405855E-7"/>
                  <c:y val="2.2967375756078416E-7"/>
                </c:manualLayout>
              </c:layout>
              <c:showLegendKey val="0"/>
              <c:showVal val="1"/>
              <c:showCatName val="0"/>
              <c:showSerName val="0"/>
              <c:showPercent val="0"/>
              <c:showBubbleSize val="0"/>
              <c:extLst>
                <c:ext xmlns:c15="http://schemas.microsoft.com/office/drawing/2012/chart" uri="{CE6537A1-D6FC-4f65-9D91-7224C49458BB}">
                  <c15:layout>
                    <c:manualLayout>
                      <c:w val="7.4277489690881465E-2"/>
                      <c:h val="9.4140517160993489E-2"/>
                    </c:manualLayout>
                  </c15:layout>
                </c:ext>
                <c:ext xmlns:c16="http://schemas.microsoft.com/office/drawing/2014/chart" uri="{C3380CC4-5D6E-409C-BE32-E72D297353CC}">
                  <c16:uniqueId val="{00000002-A25A-418F-BE44-5A2304F2B0FC}"/>
                </c:ext>
              </c:extLst>
            </c:dLbl>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Outputs!$D$45:$D$45</c:f>
              <c:strCache>
                <c:ptCount val="1"/>
                <c:pt idx="0">
                  <c:v>Reduction Before Net Down</c:v>
                </c:pt>
              </c:strCache>
            </c:strRef>
          </c:cat>
          <c:val>
            <c:numRef>
              <c:f>Outputs!$D$46:$D$46</c:f>
              <c:numCache>
                <c:formatCode>_(* #,##0_);_(* \(#,##0\);_(* "-"??_);_(@_)</c:formatCode>
                <c:ptCount val="1"/>
                <c:pt idx="0">
                  <c:v>50.948452484139345</c:v>
                </c:pt>
              </c:numCache>
            </c:numRef>
          </c:val>
          <c:extLst>
            <c:ext xmlns:c16="http://schemas.microsoft.com/office/drawing/2014/chart" uri="{C3380CC4-5D6E-409C-BE32-E72D297353CC}">
              <c16:uniqueId val="{00000000-A3F2-46EA-946D-E7058C8594E1}"/>
            </c:ext>
          </c:extLst>
        </c:ser>
        <c:ser>
          <c:idx val="1"/>
          <c:order val="1"/>
          <c:tx>
            <c:strRef>
              <c:f>Outputs!$A$47</c:f>
              <c:strCache>
                <c:ptCount val="1"/>
                <c:pt idx="0">
                  <c:v>Diesel Fuel (1000L)</c:v>
                </c:pt>
              </c:strCache>
            </c:strRef>
          </c:tx>
          <c:spPr>
            <a:solidFill>
              <a:schemeClr val="accent2"/>
            </a:solidFill>
            <a:ln>
              <a:noFill/>
            </a:ln>
            <a:effectLst/>
            <a:sp3d/>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Outputs!$D$45:$D$45</c:f>
              <c:strCache>
                <c:ptCount val="1"/>
                <c:pt idx="0">
                  <c:v>Reduction Before Net Down</c:v>
                </c:pt>
              </c:strCache>
            </c:strRef>
          </c:cat>
          <c:val>
            <c:numRef>
              <c:f>Outputs!$D$47:$D$47</c:f>
              <c:numCache>
                <c:formatCode>_(* #,##0_);_(* \(#,##0\);_(* "-"??_);_(@_)</c:formatCode>
                <c:ptCount val="1"/>
                <c:pt idx="0">
                  <c:v>17.62366774846814</c:v>
                </c:pt>
              </c:numCache>
            </c:numRef>
          </c:val>
          <c:extLst>
            <c:ext xmlns:c16="http://schemas.microsoft.com/office/drawing/2014/chart" uri="{C3380CC4-5D6E-409C-BE32-E72D297353CC}">
              <c16:uniqueId val="{00000001-A3F2-46EA-946D-E7058C8594E1}"/>
            </c:ext>
          </c:extLst>
        </c:ser>
        <c:ser>
          <c:idx val="2"/>
          <c:order val="2"/>
          <c:tx>
            <c:strRef>
              <c:f>Outputs!$A$48</c:f>
              <c:strCache>
                <c:ptCount val="1"/>
                <c:pt idx="0">
                  <c:v>Truck return trips</c:v>
                </c:pt>
              </c:strCache>
            </c:strRef>
          </c:tx>
          <c:spPr>
            <a:solidFill>
              <a:schemeClr val="accent3"/>
            </a:solidFill>
            <a:ln>
              <a:noFill/>
            </a:ln>
            <a:effectLst/>
            <a:sp3d/>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Outputs!$D$45:$D$45</c:f>
              <c:strCache>
                <c:ptCount val="1"/>
                <c:pt idx="0">
                  <c:v>Reduction Before Net Down</c:v>
                </c:pt>
              </c:strCache>
            </c:strRef>
          </c:cat>
          <c:val>
            <c:numRef>
              <c:f>Outputs!$D$48:$D$48</c:f>
              <c:numCache>
                <c:formatCode>_(* #,##0_);_(* \(#,##0\);_(* "-"??_);_(@_)</c:formatCode>
                <c:ptCount val="1"/>
                <c:pt idx="0">
                  <c:v>109.29065408</c:v>
                </c:pt>
              </c:numCache>
            </c:numRef>
          </c:val>
          <c:extLst>
            <c:ext xmlns:c16="http://schemas.microsoft.com/office/drawing/2014/chart" uri="{C3380CC4-5D6E-409C-BE32-E72D297353CC}">
              <c16:uniqueId val="{00000002-A3F2-46EA-946D-E7058C8594E1}"/>
            </c:ext>
          </c:extLst>
        </c:ser>
        <c:dLbls>
          <c:showLegendKey val="0"/>
          <c:showVal val="0"/>
          <c:showCatName val="0"/>
          <c:showSerName val="0"/>
          <c:showPercent val="0"/>
          <c:showBubbleSize val="0"/>
        </c:dLbls>
        <c:gapWidth val="150"/>
        <c:shape val="box"/>
        <c:axId val="141689216"/>
        <c:axId val="141690752"/>
        <c:axId val="0"/>
      </c:bar3DChart>
      <c:catAx>
        <c:axId val="1416892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690752"/>
        <c:crossesAt val="0"/>
        <c:auto val="1"/>
        <c:lblAlgn val="ctr"/>
        <c:lblOffset val="100"/>
        <c:noMultiLvlLbl val="0"/>
      </c:catAx>
      <c:valAx>
        <c:axId val="14169075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689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293114771217089"/>
          <c:y val="2.8918508716180725E-2"/>
          <c:w val="0.88706885228782906"/>
          <c:h val="0.69950454433708398"/>
        </c:manualLayout>
      </c:layout>
      <c:bar3DChart>
        <c:barDir val="col"/>
        <c:grouping val="clustered"/>
        <c:varyColors val="0"/>
        <c:ser>
          <c:idx val="0"/>
          <c:order val="0"/>
          <c:tx>
            <c:strRef>
              <c:f>Outputs!$A$46</c:f>
              <c:strCache>
                <c:ptCount val="1"/>
                <c:pt idx="0">
                  <c:v>CO2e (Tonnes)</c:v>
                </c:pt>
              </c:strCache>
            </c:strRef>
          </c:tx>
          <c:spPr>
            <a:solidFill>
              <a:schemeClr val="accent1"/>
            </a:solidFill>
            <a:ln>
              <a:noFill/>
            </a:ln>
            <a:effectLst/>
            <a:sp3d/>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Outputs!$B$45:$D$45</c:f>
              <c:strCache>
                <c:ptCount val="3"/>
                <c:pt idx="0">
                  <c:v>OpenCut</c:v>
                </c:pt>
                <c:pt idx="1">
                  <c:v>Trenchless</c:v>
                </c:pt>
                <c:pt idx="2">
                  <c:v>Reduction Before Net Down</c:v>
                </c:pt>
              </c:strCache>
            </c:strRef>
          </c:cat>
          <c:val>
            <c:numRef>
              <c:f>Outputs!$B$46:$D$46</c:f>
              <c:numCache>
                <c:formatCode>_-* #,##0_-;\-* #,##0_-;_-* "-"??_-;_-@_-</c:formatCode>
                <c:ptCount val="3"/>
                <c:pt idx="0" formatCode="_(* #,##0_);_(* \(#,##0\);_(* &quot;-&quot;??_);_(@_)">
                  <c:v>58.199436828139774</c:v>
                </c:pt>
                <c:pt idx="1">
                  <c:v>7.250984344000428</c:v>
                </c:pt>
                <c:pt idx="2" formatCode="_(* #,##0_);_(* \(#,##0\);_(* &quot;-&quot;??_);_(@_)">
                  <c:v>50.948452484139345</c:v>
                </c:pt>
              </c:numCache>
            </c:numRef>
          </c:val>
          <c:extLst>
            <c:ext xmlns:c16="http://schemas.microsoft.com/office/drawing/2014/chart" uri="{C3380CC4-5D6E-409C-BE32-E72D297353CC}">
              <c16:uniqueId val="{00000000-B3EB-422B-9047-C1163E58CB71}"/>
            </c:ext>
          </c:extLst>
        </c:ser>
        <c:ser>
          <c:idx val="1"/>
          <c:order val="1"/>
          <c:tx>
            <c:strRef>
              <c:f>Outputs!$A$47</c:f>
              <c:strCache>
                <c:ptCount val="1"/>
                <c:pt idx="0">
                  <c:v>Diesel Fuel (1000L)</c:v>
                </c:pt>
              </c:strCache>
            </c:strRef>
          </c:tx>
          <c:spPr>
            <a:solidFill>
              <a:schemeClr val="accent2"/>
            </a:solidFill>
            <a:ln>
              <a:noFill/>
            </a:ln>
            <a:effectLst/>
            <a:sp3d/>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Outputs!$B$45:$D$45</c:f>
              <c:strCache>
                <c:ptCount val="3"/>
                <c:pt idx="0">
                  <c:v>OpenCut</c:v>
                </c:pt>
                <c:pt idx="1">
                  <c:v>Trenchless</c:v>
                </c:pt>
                <c:pt idx="2">
                  <c:v>Reduction Before Net Down</c:v>
                </c:pt>
              </c:strCache>
            </c:strRef>
          </c:cat>
          <c:val>
            <c:numRef>
              <c:f>Outputs!$B$47:$D$47</c:f>
              <c:numCache>
                <c:formatCode>_(* #,##0_);_(* \(#,##0\);_(* "-"??_);_(@_)</c:formatCode>
                <c:ptCount val="3"/>
                <c:pt idx="0">
                  <c:v>20.131425485808204</c:v>
                </c:pt>
                <c:pt idx="1">
                  <c:v>2.5077577373400639</c:v>
                </c:pt>
                <c:pt idx="2">
                  <c:v>17.62366774846814</c:v>
                </c:pt>
              </c:numCache>
            </c:numRef>
          </c:val>
          <c:extLst>
            <c:ext xmlns:c16="http://schemas.microsoft.com/office/drawing/2014/chart" uri="{C3380CC4-5D6E-409C-BE32-E72D297353CC}">
              <c16:uniqueId val="{00000001-B3EB-422B-9047-C1163E58CB71}"/>
            </c:ext>
          </c:extLst>
        </c:ser>
        <c:ser>
          <c:idx val="2"/>
          <c:order val="2"/>
          <c:tx>
            <c:strRef>
              <c:f>Outputs!$A$48</c:f>
              <c:strCache>
                <c:ptCount val="1"/>
                <c:pt idx="0">
                  <c:v>Truck return trips</c:v>
                </c:pt>
              </c:strCache>
            </c:strRef>
          </c:tx>
          <c:spPr>
            <a:solidFill>
              <a:schemeClr val="accent3"/>
            </a:solidFill>
            <a:ln>
              <a:noFill/>
            </a:ln>
            <a:effectLst/>
            <a:sp3d/>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Outputs!$B$45:$D$45</c:f>
              <c:strCache>
                <c:ptCount val="3"/>
                <c:pt idx="0">
                  <c:v>OpenCut</c:v>
                </c:pt>
                <c:pt idx="1">
                  <c:v>Trenchless</c:v>
                </c:pt>
                <c:pt idx="2">
                  <c:v>Reduction Before Net Down</c:v>
                </c:pt>
              </c:strCache>
            </c:strRef>
          </c:cat>
          <c:val>
            <c:numRef>
              <c:f>Outputs!$B$48:$D$48</c:f>
              <c:numCache>
                <c:formatCode>_(* #,##0_);_(* \(#,##0\);_(* "-"??_);_(@_)</c:formatCode>
                <c:ptCount val="3"/>
                <c:pt idx="0">
                  <c:v>124.498296512</c:v>
                </c:pt>
                <c:pt idx="1">
                  <c:v>15.207642432</c:v>
                </c:pt>
                <c:pt idx="2">
                  <c:v>109.29065408</c:v>
                </c:pt>
              </c:numCache>
            </c:numRef>
          </c:val>
          <c:extLst>
            <c:ext xmlns:c16="http://schemas.microsoft.com/office/drawing/2014/chart" uri="{C3380CC4-5D6E-409C-BE32-E72D297353CC}">
              <c16:uniqueId val="{00000002-B3EB-422B-9047-C1163E58CB71}"/>
            </c:ext>
          </c:extLst>
        </c:ser>
        <c:dLbls>
          <c:showLegendKey val="0"/>
          <c:showVal val="0"/>
          <c:showCatName val="0"/>
          <c:showSerName val="0"/>
          <c:showPercent val="0"/>
          <c:showBubbleSize val="0"/>
        </c:dLbls>
        <c:gapWidth val="150"/>
        <c:shape val="box"/>
        <c:axId val="142273536"/>
        <c:axId val="143590144"/>
        <c:axId val="0"/>
      </c:bar3DChart>
      <c:catAx>
        <c:axId val="1422735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3590144"/>
        <c:crosses val="autoZero"/>
        <c:auto val="1"/>
        <c:lblAlgn val="ctr"/>
        <c:lblOffset val="100"/>
        <c:noMultiLvlLbl val="0"/>
      </c:catAx>
      <c:valAx>
        <c:axId val="143590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2273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07/relationships/hdphoto" Target="../media/hdphoto1.wdp"/><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39944</xdr:colOff>
      <xdr:row>1</xdr:row>
      <xdr:rowOff>37005</xdr:rowOff>
    </xdr:from>
    <xdr:to>
      <xdr:col>7</xdr:col>
      <xdr:colOff>949144</xdr:colOff>
      <xdr:row>11</xdr:row>
      <xdr:rowOff>7620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duotone>
            <a:prstClr val="black"/>
            <a:schemeClr val="accent3">
              <a:tint val="45000"/>
              <a:satMod val="400000"/>
            </a:schemeClr>
          </a:duotone>
          <a:extLst>
            <a:ext uri="{BEBA8EAE-BF5A-486C-A8C5-ECC9F3942E4B}">
              <a14:imgProps xmlns:a14="http://schemas.microsoft.com/office/drawing/2010/main">
                <a14:imgLayer r:embed="rId2">
                  <a14:imgEffect>
                    <a14:colorTemperature colorTemp="5900"/>
                  </a14:imgEffect>
                </a14:imgLayer>
              </a14:imgProps>
            </a:ext>
            <a:ext uri="{28A0092B-C50C-407E-A947-70E740481C1C}">
              <a14:useLocalDpi xmlns:a14="http://schemas.microsoft.com/office/drawing/2010/main" val="0"/>
            </a:ext>
          </a:extLst>
        </a:blip>
        <a:srcRect l="8036"/>
        <a:stretch/>
      </xdr:blipFill>
      <xdr:spPr>
        <a:xfrm>
          <a:off x="7190552" y="244269"/>
          <a:ext cx="2609984" cy="239682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8</xdr:col>
      <xdr:colOff>15240</xdr:colOff>
      <xdr:row>3</xdr:row>
      <xdr:rowOff>7620</xdr:rowOff>
    </xdr:from>
    <xdr:to>
      <xdr:col>12</xdr:col>
      <xdr:colOff>525780</xdr:colOff>
      <xdr:row>12</xdr:row>
      <xdr:rowOff>137160</xdr:rowOff>
    </xdr:to>
    <xdr:graphicFrame macro="">
      <xdr:nvGraphicFramePr>
        <xdr:cNvPr id="3" name="Chart 2">
          <a:extLst>
            <a:ext uri="{FF2B5EF4-FFF2-40B4-BE49-F238E27FC236}">
              <a16:creationId xmlns:a16="http://schemas.microsoft.com/office/drawing/2014/main" id="{37B8E2CA-6838-4E5B-9E89-1FD0DC2310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10510</xdr:colOff>
      <xdr:row>35</xdr:row>
      <xdr:rowOff>1</xdr:rowOff>
    </xdr:from>
    <xdr:to>
      <xdr:col>3</xdr:col>
      <xdr:colOff>0</xdr:colOff>
      <xdr:row>49</xdr:row>
      <xdr:rowOff>5255</xdr:rowOff>
    </xdr:to>
    <xdr:graphicFrame macro="">
      <xdr:nvGraphicFramePr>
        <xdr:cNvPr id="4" name="Chart 3">
          <a:extLst>
            <a:ext uri="{FF2B5EF4-FFF2-40B4-BE49-F238E27FC236}">
              <a16:creationId xmlns:a16="http://schemas.microsoft.com/office/drawing/2014/main" id="{25B0CC0C-EB6B-4324-B275-083192360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dieselnet.com/standards/us/fe_hd.php" TargetMode="External"/><Relationship Id="rId1" Type="http://schemas.openxmlformats.org/officeDocument/2006/relationships/hyperlink" Target="http://en.wikipedia.org/wiki/Brake_specific_fuel_consumption"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T220"/>
  <sheetViews>
    <sheetView zoomScale="80" zoomScaleNormal="80" zoomScaleSheetLayoutView="90" workbookViewId="0">
      <selection activeCell="D15" sqref="D15"/>
    </sheetView>
  </sheetViews>
  <sheetFormatPr defaultColWidth="9.140625" defaultRowHeight="15"/>
  <cols>
    <col min="1" max="1" width="39.7109375" style="5" bestFit="1" customWidth="1"/>
    <col min="2" max="2" width="7.28515625" style="317" customWidth="1"/>
    <col min="3" max="3" width="14.85546875" style="5" bestFit="1" customWidth="1"/>
    <col min="4" max="4" width="24.42578125" style="5" bestFit="1" customWidth="1"/>
    <col min="5" max="5" width="17.85546875" style="5" bestFit="1" customWidth="1"/>
    <col min="6" max="6" width="7.28515625" style="5" customWidth="1"/>
    <col min="7" max="7" width="17.42578125" style="5" customWidth="1"/>
    <col min="8" max="8" width="14.28515625" style="5" customWidth="1"/>
    <col min="9" max="9" width="7.28515625" style="31" customWidth="1"/>
    <col min="10" max="10" width="24" style="5" customWidth="1"/>
    <col min="11" max="11" width="14.140625" style="5" customWidth="1"/>
    <col min="12" max="12" width="7.28515625" style="5" customWidth="1"/>
    <col min="13" max="13" width="12" style="5" customWidth="1"/>
    <col min="14" max="14" width="12.7109375" style="5" bestFit="1" customWidth="1"/>
    <col min="15" max="15" width="10.7109375" style="5" customWidth="1"/>
    <col min="16" max="16384" width="9.140625" style="5"/>
  </cols>
  <sheetData>
    <row r="1" spans="1:20" ht="21.75" thickBot="1">
      <c r="A1" s="63" t="s">
        <v>238</v>
      </c>
      <c r="B1" s="336">
        <v>101</v>
      </c>
      <c r="C1" s="325" t="s">
        <v>282</v>
      </c>
      <c r="D1" s="391" t="s">
        <v>312</v>
      </c>
      <c r="E1" s="392"/>
      <c r="F1" s="369">
        <f>Outputs!B31</f>
        <v>0.1</v>
      </c>
      <c r="G1" s="18"/>
      <c r="H1" s="18"/>
      <c r="I1" s="341"/>
      <c r="J1" s="344" t="s">
        <v>278</v>
      </c>
      <c r="K1" s="19"/>
    </row>
    <row r="2" spans="1:20" ht="19.5" thickBot="1">
      <c r="A2" s="63" t="s">
        <v>55</v>
      </c>
      <c r="B2" s="336">
        <v>102</v>
      </c>
      <c r="C2" s="325" t="s">
        <v>77</v>
      </c>
      <c r="D2" s="21" t="s">
        <v>80</v>
      </c>
      <c r="E2" s="22">
        <f>Outputs!C32</f>
        <v>45.85360723572542</v>
      </c>
      <c r="F2" s="23"/>
      <c r="G2" s="24"/>
      <c r="H2" s="20"/>
      <c r="I2" s="342"/>
      <c r="J2" s="344" t="s">
        <v>279</v>
      </c>
      <c r="L2" s="25"/>
      <c r="N2" s="26"/>
    </row>
    <row r="3" spans="1:20" ht="25.5" customHeight="1" thickBot="1">
      <c r="A3" s="63" t="s">
        <v>118</v>
      </c>
      <c r="B3" s="336">
        <v>103</v>
      </c>
      <c r="C3" s="326" t="s">
        <v>112</v>
      </c>
      <c r="D3" s="21" t="s">
        <v>81</v>
      </c>
      <c r="E3" s="29">
        <f>Outputs!C33</f>
        <v>15861.300973621332</v>
      </c>
      <c r="F3" s="27"/>
      <c r="G3" s="24"/>
      <c r="H3" s="20"/>
      <c r="I3" s="343"/>
      <c r="J3" s="345" t="s">
        <v>280</v>
      </c>
      <c r="L3" s="28"/>
    </row>
    <row r="4" spans="1:20" ht="23.25" customHeight="1" thickBot="1">
      <c r="A4" s="63" t="s">
        <v>240</v>
      </c>
      <c r="B4" s="336">
        <v>104</v>
      </c>
      <c r="C4" s="326" t="s">
        <v>58</v>
      </c>
      <c r="D4" s="21" t="s">
        <v>261</v>
      </c>
      <c r="E4" s="29">
        <f>Outputs!C34</f>
        <v>65.574392448000012</v>
      </c>
      <c r="F4" s="27"/>
      <c r="G4" s="24"/>
      <c r="H4" s="30"/>
      <c r="L4" s="32"/>
      <c r="M4" s="31"/>
      <c r="N4" s="31"/>
    </row>
    <row r="5" spans="1:20" ht="23.25" customHeight="1" thickBot="1">
      <c r="A5" s="66" t="s">
        <v>281</v>
      </c>
      <c r="B5" s="336">
        <v>105</v>
      </c>
      <c r="C5" s="327" t="s">
        <v>272</v>
      </c>
      <c r="D5" s="67" t="s">
        <v>277</v>
      </c>
      <c r="E5" s="68">
        <f>Outputs!C35</f>
        <v>98.361588671999996</v>
      </c>
      <c r="F5" s="27"/>
      <c r="G5" s="24"/>
      <c r="H5" s="30"/>
      <c r="L5" s="32"/>
      <c r="M5" s="31"/>
      <c r="N5" s="31"/>
    </row>
    <row r="6" spans="1:20" ht="18.75">
      <c r="A6" s="318" t="s">
        <v>218</v>
      </c>
      <c r="B6" s="37" t="s">
        <v>283</v>
      </c>
      <c r="C6" s="312" t="s">
        <v>219</v>
      </c>
      <c r="D6" s="69" t="s">
        <v>226</v>
      </c>
      <c r="E6" s="70" t="s">
        <v>0</v>
      </c>
      <c r="F6" s="65"/>
      <c r="H6" s="24"/>
      <c r="L6" s="28"/>
      <c r="M6" s="34"/>
      <c r="N6" s="31"/>
    </row>
    <row r="7" spans="1:20" ht="18.75">
      <c r="A7" s="319" t="s">
        <v>71</v>
      </c>
      <c r="B7" s="336">
        <v>106</v>
      </c>
      <c r="C7" s="328">
        <v>375</v>
      </c>
      <c r="D7" s="340" t="s">
        <v>284</v>
      </c>
      <c r="E7" s="71" t="s">
        <v>97</v>
      </c>
      <c r="F7" s="41"/>
      <c r="H7" s="24"/>
      <c r="J7" s="46">
        <f>IF(C7&lt;&gt;"",C7,D7)*0.001</f>
        <v>0.375</v>
      </c>
      <c r="K7" s="46" t="s">
        <v>95</v>
      </c>
      <c r="L7" s="28"/>
      <c r="M7" s="34"/>
      <c r="N7" s="31"/>
    </row>
    <row r="8" spans="1:20" ht="18.75">
      <c r="A8" s="319" t="s">
        <v>72</v>
      </c>
      <c r="B8" s="336">
        <v>107</v>
      </c>
      <c r="C8" s="328">
        <v>200</v>
      </c>
      <c r="D8" s="340" t="s">
        <v>285</v>
      </c>
      <c r="E8" s="71" t="s">
        <v>1</v>
      </c>
      <c r="F8" s="41"/>
      <c r="H8" s="24"/>
      <c r="J8" s="46">
        <f>IF(C8&lt;&gt;"",C8,D8)</f>
        <v>200</v>
      </c>
      <c r="K8" s="46" t="s">
        <v>2</v>
      </c>
      <c r="L8" s="28"/>
      <c r="M8" s="34"/>
      <c r="N8" s="31"/>
    </row>
    <row r="9" spans="1:20" ht="18">
      <c r="A9" s="319" t="s">
        <v>220</v>
      </c>
      <c r="B9" s="336">
        <v>108</v>
      </c>
      <c r="C9" s="329">
        <v>2.5</v>
      </c>
      <c r="D9" s="13">
        <f>1+Pipe_Diameter_m+IF(Pipe_Diameter_m/4&gt;=0.1,Pipe_Diameter_m/4,0.1)</f>
        <v>1.4750000000000001</v>
      </c>
      <c r="E9" s="71" t="s">
        <v>1</v>
      </c>
      <c r="F9" s="41"/>
      <c r="H9" s="24"/>
      <c r="J9" s="122">
        <f>(IF(C9&lt;&gt;"",C9,D9)+IF(C10&lt;&gt;"",C10,D10))/2</f>
        <v>2.5</v>
      </c>
      <c r="K9" s="46" t="s">
        <v>94</v>
      </c>
      <c r="M9" s="31"/>
      <c r="N9" s="31"/>
      <c r="O9" s="31"/>
      <c r="P9" s="31"/>
      <c r="Q9" s="31"/>
      <c r="R9" s="31"/>
      <c r="S9" s="31"/>
      <c r="T9" s="31"/>
    </row>
    <row r="10" spans="1:20" ht="18">
      <c r="A10" s="319" t="s">
        <v>221</v>
      </c>
      <c r="B10" s="336">
        <v>109</v>
      </c>
      <c r="C10" s="329">
        <v>2.5</v>
      </c>
      <c r="D10" s="13">
        <f>1+Pipe_Diameter_m+IF(Pipe_Diameter_m/4&gt;=0.1,Pipe_Diameter_m/4,0.1)</f>
        <v>1.4750000000000001</v>
      </c>
      <c r="E10" s="71" t="s">
        <v>1</v>
      </c>
      <c r="F10" s="41"/>
      <c r="H10" s="24"/>
      <c r="J10" s="46"/>
      <c r="K10" s="46"/>
      <c r="L10" s="6"/>
      <c r="M10" s="31"/>
      <c r="N10" s="31"/>
      <c r="O10" s="31"/>
      <c r="P10" s="31"/>
      <c r="Q10" s="31"/>
      <c r="R10" s="31"/>
      <c r="S10" s="31"/>
      <c r="T10" s="31"/>
    </row>
    <row r="11" spans="1:20">
      <c r="A11" s="320" t="s">
        <v>106</v>
      </c>
      <c r="B11" s="336">
        <v>110</v>
      </c>
      <c r="C11" s="330"/>
      <c r="D11" s="11">
        <v>0</v>
      </c>
      <c r="E11" s="72" t="s">
        <v>107</v>
      </c>
      <c r="F11" s="41"/>
      <c r="H11" s="24"/>
      <c r="J11" s="46">
        <f>IF(C11&lt;&gt;"",C11,D11)</f>
        <v>0</v>
      </c>
      <c r="K11" s="46" t="s">
        <v>223</v>
      </c>
      <c r="O11" s="31"/>
      <c r="P11" s="31"/>
      <c r="Q11" s="31"/>
      <c r="R11" s="31"/>
      <c r="S11" s="31"/>
      <c r="T11" s="31"/>
    </row>
    <row r="12" spans="1:20">
      <c r="A12" s="319" t="s">
        <v>7</v>
      </c>
      <c r="B12" s="336">
        <v>111</v>
      </c>
      <c r="C12" s="328"/>
      <c r="D12" s="12">
        <v>7.5</v>
      </c>
      <c r="E12" s="71" t="s">
        <v>6</v>
      </c>
      <c r="F12" s="346">
        <f>(VLOOKUP(Trenchless_Tech,Productivity!A3:Q13,16,FALSE))</f>
        <v>0</v>
      </c>
      <c r="H12" s="24"/>
      <c r="J12" s="121">
        <f>IF(C12&lt;&gt;"",C12,D12)</f>
        <v>7.5</v>
      </c>
      <c r="K12" s="46" t="s">
        <v>96</v>
      </c>
      <c r="O12" s="31"/>
      <c r="P12" s="31"/>
      <c r="Q12" s="31"/>
      <c r="R12" s="31"/>
      <c r="S12" s="31"/>
      <c r="T12" s="31"/>
    </row>
    <row r="13" spans="1:20" ht="15.75" thickBot="1">
      <c r="A13" s="321" t="s">
        <v>8</v>
      </c>
      <c r="B13" s="336">
        <v>112</v>
      </c>
      <c r="C13" s="331"/>
      <c r="D13" s="73">
        <v>10</v>
      </c>
      <c r="E13" s="74" t="s">
        <v>3</v>
      </c>
      <c r="F13" s="35"/>
      <c r="G13" s="35"/>
      <c r="H13" s="36"/>
      <c r="I13" s="35"/>
      <c r="J13" s="123">
        <f>IF(C13&lt;&gt;"",C13,D13)</f>
        <v>10</v>
      </c>
      <c r="K13" s="123" t="s">
        <v>224</v>
      </c>
      <c r="L13" s="6"/>
      <c r="O13" s="31"/>
      <c r="P13" s="31"/>
      <c r="Q13" s="31"/>
      <c r="R13" s="31"/>
      <c r="S13" s="31"/>
      <c r="T13" s="31"/>
    </row>
    <row r="14" spans="1:20">
      <c r="A14" s="322" t="s">
        <v>65</v>
      </c>
      <c r="B14" s="37" t="s">
        <v>283</v>
      </c>
      <c r="C14" s="332" t="s">
        <v>69</v>
      </c>
      <c r="D14" s="33" t="s">
        <v>226</v>
      </c>
      <c r="E14" s="37" t="s">
        <v>68</v>
      </c>
      <c r="F14" s="37" t="s">
        <v>283</v>
      </c>
      <c r="G14" s="37" t="s">
        <v>239</v>
      </c>
      <c r="H14" s="37" t="s">
        <v>89</v>
      </c>
      <c r="I14" s="37" t="s">
        <v>283</v>
      </c>
      <c r="J14" s="37" t="s">
        <v>74</v>
      </c>
      <c r="K14" s="37" t="s">
        <v>73</v>
      </c>
      <c r="L14" s="337" t="s">
        <v>283</v>
      </c>
      <c r="M14" s="37" t="s">
        <v>66</v>
      </c>
      <c r="N14" s="37" t="s">
        <v>67</v>
      </c>
      <c r="O14" s="46"/>
      <c r="P14" s="46"/>
      <c r="Q14" s="46"/>
      <c r="R14" s="46"/>
      <c r="S14" s="31"/>
      <c r="T14" s="31"/>
    </row>
    <row r="15" spans="1:20">
      <c r="A15" s="319" t="s">
        <v>263</v>
      </c>
      <c r="B15" s="336">
        <v>113</v>
      </c>
      <c r="C15" s="328">
        <v>2</v>
      </c>
      <c r="D15" s="14">
        <f>ROUNDUP(($J$8/100)+1,0)</f>
        <v>3</v>
      </c>
      <c r="E15" s="62" t="s">
        <v>1</v>
      </c>
      <c r="F15" s="350">
        <v>122</v>
      </c>
      <c r="G15" s="2"/>
      <c r="H15" s="4">
        <f>CONVERT(7,"ft","m")</f>
        <v>2.1335999999999999</v>
      </c>
      <c r="I15" s="336">
        <v>127</v>
      </c>
      <c r="J15" s="1"/>
      <c r="K15" s="4">
        <f>CONVERT(7,"ft","m")</f>
        <v>2.1335999999999999</v>
      </c>
      <c r="L15" s="336">
        <v>131</v>
      </c>
      <c r="M15" s="1"/>
      <c r="N15" s="15">
        <f>Trench_Depth</f>
        <v>2.5</v>
      </c>
      <c r="O15" s="46"/>
      <c r="P15" s="46"/>
      <c r="Q15" s="357"/>
      <c r="R15" s="357"/>
      <c r="S15" s="31"/>
      <c r="T15" s="31"/>
    </row>
    <row r="16" spans="1:20" ht="14.65" customHeight="1">
      <c r="A16" s="319" t="s">
        <v>242</v>
      </c>
      <c r="B16" s="336">
        <v>114</v>
      </c>
      <c r="C16" s="328">
        <v>3</v>
      </c>
      <c r="D16" s="8"/>
      <c r="E16" s="62" t="s">
        <v>1</v>
      </c>
      <c r="F16" s="350">
        <v>123</v>
      </c>
      <c r="G16" s="3">
        <v>3</v>
      </c>
      <c r="H16" s="4">
        <f>CONVERT(16,"ft","m")</f>
        <v>4.8768000000000002</v>
      </c>
      <c r="I16" s="336">
        <v>128</v>
      </c>
      <c r="J16" s="1"/>
      <c r="K16" s="4">
        <f>CONVERT(3,"ft","m")</f>
        <v>0.91439999999999999</v>
      </c>
      <c r="L16" s="336">
        <v>132</v>
      </c>
      <c r="M16" s="1"/>
      <c r="N16" s="15">
        <f>Trench_Depth-0.5</f>
        <v>2</v>
      </c>
      <c r="O16" s="46" t="s">
        <v>87</v>
      </c>
      <c r="P16" s="46" t="s">
        <v>90</v>
      </c>
      <c r="Q16" s="46" t="s">
        <v>88</v>
      </c>
      <c r="R16" s="46" t="s">
        <v>91</v>
      </c>
      <c r="S16" s="31"/>
      <c r="T16" s="31"/>
    </row>
    <row r="17" spans="1:20">
      <c r="A17" s="319" t="s">
        <v>243</v>
      </c>
      <c r="B17" s="336">
        <v>115</v>
      </c>
      <c r="C17" s="328">
        <v>3</v>
      </c>
      <c r="D17" s="38"/>
      <c r="E17" s="62" t="s">
        <v>1</v>
      </c>
      <c r="F17" s="350">
        <v>124</v>
      </c>
      <c r="G17" s="3">
        <v>5.5</v>
      </c>
      <c r="H17" s="8"/>
      <c r="I17" s="37"/>
      <c r="J17" s="38"/>
      <c r="K17" s="8"/>
      <c r="L17" s="37"/>
      <c r="M17" s="38"/>
      <c r="N17" s="9"/>
      <c r="O17" s="46">
        <f>IF(C15&lt;&gt;"",C15,D15)</f>
        <v>2</v>
      </c>
      <c r="P17" s="120">
        <f>IF(G15&lt;&gt;"",G15,H15)</f>
        <v>2.1335999999999999</v>
      </c>
      <c r="Q17" s="120">
        <f>IF(J15&lt;&gt;"",J15,K15)</f>
        <v>2.1335999999999999</v>
      </c>
      <c r="R17" s="120">
        <f>IF(M15&lt;&gt;"",M15,N15)</f>
        <v>2.5</v>
      </c>
      <c r="S17" s="31"/>
      <c r="T17" s="31"/>
    </row>
    <row r="18" spans="1:20">
      <c r="A18" s="319" t="s">
        <v>70</v>
      </c>
      <c r="B18" s="336">
        <v>116</v>
      </c>
      <c r="C18" s="328"/>
      <c r="D18" s="17">
        <f>IF(No_Manholes&lt;=2,ROUND(((No_Manholes+2)/3),0),ROUNDUP(((No_Manholes+2)/3),0))</f>
        <v>1</v>
      </c>
      <c r="E18" s="62" t="s">
        <v>1</v>
      </c>
      <c r="F18" s="350">
        <v>125</v>
      </c>
      <c r="G18" s="1"/>
      <c r="H18" s="16">
        <f>IF(OR(Trenchless_Tech=Horizontal_Auger_Boring,Trenchless_Tech=Guided_Boring_System,Trenchless_Tech=Pipe_Ramming,Trenchless_Tech=Pipe_Jacking,Trenchless_Tech=Horizontal_Directional_Drilling__HDD),CONVERT(30,"ft","m"),(IF(Trenchless_Tech=Impact_Mole,CONVERT(3,"ft","m"),(CONVERT(CONVERT(C7,"mm","in")*2,"ft","m")))))</f>
        <v>8.9999999999999982</v>
      </c>
      <c r="I18" s="336">
        <v>129</v>
      </c>
      <c r="J18" s="1"/>
      <c r="K18" s="16">
        <f>IF(OR(Trenchless_Tech=Horizontal_Auger_Boring,Trenchless_Tech=Guided_Boring_System,Trenchless_Tech=Pipe_Ramming,Trenchless_Tech=Pipe_Jacking,Trenchless_Tech=Horizontal_Directional_Drilling__HDD),CONVERT(7,"ft","m"), (IF(Trenchless_Tech=Impact_Mole, CONVERT(1,"ft","m"), CONVERT(6,"ft","m"))))</f>
        <v>1.8288</v>
      </c>
      <c r="L18" s="336">
        <v>133</v>
      </c>
      <c r="M18" s="1"/>
      <c r="N18" s="15">
        <f>Trench_Depth</f>
        <v>2.5</v>
      </c>
      <c r="O18" s="46"/>
      <c r="P18" s="120">
        <f>IF(G16&lt;&gt;"",G16,H16)</f>
        <v>3</v>
      </c>
      <c r="Q18" s="120">
        <f>IF(J16&lt;&gt;"",J16,K16)</f>
        <v>0.91439999999999999</v>
      </c>
      <c r="R18" s="120">
        <f>IF(M16&lt;&gt;"",M16,N16)</f>
        <v>2</v>
      </c>
      <c r="S18" s="31"/>
      <c r="T18" s="31"/>
    </row>
    <row r="19" spans="1:20">
      <c r="A19" s="319" t="s">
        <v>47</v>
      </c>
      <c r="B19" s="336">
        <v>117</v>
      </c>
      <c r="C19" s="328"/>
      <c r="D19" s="17">
        <f>IF((No_Manholes-D18)&lt;=1,1, No_Manholes-D18)</f>
        <v>1</v>
      </c>
      <c r="E19" s="62" t="s">
        <v>1</v>
      </c>
      <c r="F19" s="350">
        <v>126</v>
      </c>
      <c r="G19" s="1"/>
      <c r="H19" s="4">
        <f>CONVERT(16,"ft","m")</f>
        <v>4.8768000000000002</v>
      </c>
      <c r="I19" s="336">
        <v>130</v>
      </c>
      <c r="J19" s="1"/>
      <c r="K19" s="4">
        <f>CONVERT(6,"ft","m")</f>
        <v>1.8288</v>
      </c>
      <c r="L19" s="336">
        <v>134</v>
      </c>
      <c r="M19" s="1"/>
      <c r="N19" s="15">
        <f>Trench_Depth</f>
        <v>2.5</v>
      </c>
      <c r="O19" s="46"/>
      <c r="P19" s="120">
        <f t="shared" ref="P19:P21" si="0">IF(G17&lt;&gt;"",G17,H17)</f>
        <v>5.5</v>
      </c>
      <c r="Q19" s="120"/>
      <c r="R19" s="120"/>
      <c r="S19" s="31"/>
      <c r="T19" s="31"/>
    </row>
    <row r="20" spans="1:20" ht="15.75" thickBot="1">
      <c r="A20" s="323" t="s">
        <v>241</v>
      </c>
      <c r="B20" s="336">
        <v>118</v>
      </c>
      <c r="C20" s="333"/>
      <c r="D20" s="75">
        <f>IF(Pipe_Length/(IF(No_Manholes&lt;=1,1,(No_Manholes-1)))&lt;160,(IF(No_Manholes&lt;=1,1,(No_Manholes-1))),ROUNDUP((Pipe_Length/160),0))</f>
        <v>2</v>
      </c>
      <c r="E20" s="76" t="s">
        <v>52</v>
      </c>
      <c r="F20" s="39"/>
      <c r="G20" s="10"/>
      <c r="H20" s="39"/>
      <c r="I20" s="10"/>
      <c r="J20" s="39"/>
      <c r="K20" s="10"/>
      <c r="L20" s="353">
        <f>IF(C18&lt;&gt;"",C18,D18)</f>
        <v>1</v>
      </c>
      <c r="M20" s="354">
        <f>IF(G18&lt;&gt;"",G18,H18)</f>
        <v>8.9999999999999982</v>
      </c>
      <c r="N20" s="39"/>
      <c r="O20" s="120">
        <f>IF(M18&lt;&gt;"",J18,N18)</f>
        <v>2.5</v>
      </c>
      <c r="P20" s="120">
        <f>IF(G18&lt;&gt;"",G18,H18)</f>
        <v>8.9999999999999982</v>
      </c>
      <c r="Q20" s="46"/>
      <c r="R20" s="46"/>
      <c r="S20" s="31"/>
      <c r="T20" s="31"/>
    </row>
    <row r="21" spans="1:20">
      <c r="A21" s="318" t="s">
        <v>225</v>
      </c>
      <c r="B21" s="37" t="s">
        <v>283</v>
      </c>
      <c r="C21" s="312" t="s">
        <v>219</v>
      </c>
      <c r="D21" s="69" t="s">
        <v>226</v>
      </c>
      <c r="E21" s="77" t="s">
        <v>0</v>
      </c>
      <c r="F21" s="46"/>
      <c r="G21" s="46"/>
      <c r="H21" s="46"/>
      <c r="I21" s="46"/>
      <c r="J21" s="46"/>
      <c r="K21" s="46"/>
      <c r="L21" s="46">
        <f>IF(C19&lt;&gt;"",C19,D19)</f>
        <v>1</v>
      </c>
      <c r="M21" s="120">
        <f>IF(G19&lt;&gt;"",G19,H19)</f>
        <v>4.8768000000000002</v>
      </c>
      <c r="N21" s="120">
        <f>IF(J19&lt;&gt;"",J19,K19)</f>
        <v>1.8288</v>
      </c>
      <c r="O21" s="120">
        <f>IF(M19&lt;&gt;"",M19,N19)</f>
        <v>2.5</v>
      </c>
      <c r="P21" s="120">
        <f t="shared" si="0"/>
        <v>4.8768000000000002</v>
      </c>
      <c r="Q21" s="46"/>
      <c r="R21" s="46"/>
      <c r="S21" s="46"/>
      <c r="T21" s="46"/>
    </row>
    <row r="22" spans="1:20">
      <c r="A22" s="319" t="s">
        <v>86</v>
      </c>
      <c r="B22" s="336">
        <v>119</v>
      </c>
      <c r="C22" s="334"/>
      <c r="D22" s="64">
        <f>Pipe_Diameter_m+1</f>
        <v>1.375</v>
      </c>
      <c r="E22" s="71" t="s">
        <v>1</v>
      </c>
      <c r="F22" s="46">
        <f>IF(C22&lt;&gt;0,C22,D22)</f>
        <v>1.375</v>
      </c>
      <c r="G22" s="46" t="s">
        <v>92</v>
      </c>
      <c r="H22" s="30"/>
      <c r="I22" s="83"/>
      <c r="J22" s="46"/>
      <c r="K22" s="46"/>
      <c r="L22" s="46">
        <f>IF(C20&lt;&gt;"",C20,D20)</f>
        <v>2</v>
      </c>
      <c r="M22" s="120">
        <f>(SP_Length*No_Manholes)+(LC_Length*No_Lateral_Connections)+(LC_Length_Far*No_Lateral_Connections_Far_Side)+(EnP_Length*No_EntryPits)+(ExPit_Length*No_ExitPits)</f>
        <v>43.643999999999998</v>
      </c>
      <c r="N22" s="120" t="s">
        <v>264</v>
      </c>
      <c r="O22" s="120"/>
      <c r="P22" s="46"/>
      <c r="Q22" s="46"/>
      <c r="R22" s="46"/>
      <c r="S22" s="46"/>
      <c r="T22" s="46"/>
    </row>
    <row r="23" spans="1:20">
      <c r="A23" s="319" t="s">
        <v>85</v>
      </c>
      <c r="B23" s="336">
        <v>120</v>
      </c>
      <c r="C23" s="335"/>
      <c r="D23" s="64">
        <f>Pipe_Diameter_m+AVERAGE(0.45,0.6)</f>
        <v>0.9</v>
      </c>
      <c r="E23" s="71" t="s">
        <v>1</v>
      </c>
      <c r="F23" s="46">
        <f>IF(C23&lt;&gt;0,C23,D23)</f>
        <v>0.9</v>
      </c>
      <c r="G23" s="46" t="s">
        <v>93</v>
      </c>
      <c r="H23" s="30"/>
      <c r="I23" s="46"/>
      <c r="J23" s="46"/>
      <c r="K23" s="46"/>
      <c r="L23" s="46"/>
      <c r="M23" s="46"/>
      <c r="N23" s="46"/>
      <c r="O23" s="46"/>
      <c r="P23" s="46"/>
      <c r="Q23" s="46"/>
      <c r="R23" s="46"/>
      <c r="S23" s="46"/>
      <c r="T23" s="46"/>
    </row>
    <row r="24" spans="1:20" ht="15.75" thickBot="1">
      <c r="A24" s="324" t="s">
        <v>104</v>
      </c>
      <c r="B24" s="336">
        <v>121</v>
      </c>
      <c r="C24" s="331"/>
      <c r="D24" s="78">
        <f>meters_length_per_8hr_day</f>
        <v>18.92844559012131</v>
      </c>
      <c r="E24" s="74" t="s">
        <v>199</v>
      </c>
      <c r="F24" s="121">
        <f>IF(C24&lt;&gt;0,C24,((8/((HLOOKUP(C3,Productivity!B17:F20,4,FALSE))*IF(J9&lt;1.7,1,1.25)*3)*76.5)/Outputs!C3))</f>
        <v>5.5880244390468352</v>
      </c>
      <c r="G24" s="46" t="s">
        <v>222</v>
      </c>
      <c r="H24" s="30"/>
      <c r="I24" s="46"/>
      <c r="J24" s="46"/>
      <c r="K24" s="46"/>
      <c r="L24" s="30">
        <f>ROUNDUP((Pipe_Length/160),0)</f>
        <v>2</v>
      </c>
      <c r="M24" s="46"/>
      <c r="N24" s="46"/>
      <c r="O24" s="46"/>
      <c r="P24" s="46"/>
      <c r="Q24" s="46"/>
      <c r="R24" s="46"/>
      <c r="S24" s="46"/>
      <c r="T24" s="46"/>
    </row>
    <row r="25" spans="1:20">
      <c r="B25" s="338"/>
      <c r="F25" s="46"/>
      <c r="G25" s="356"/>
      <c r="H25" s="30"/>
      <c r="I25" s="46"/>
      <c r="J25" s="46"/>
      <c r="K25" s="46"/>
      <c r="L25" s="83"/>
      <c r="M25" s="46"/>
      <c r="N25" s="46"/>
      <c r="O25" s="46"/>
      <c r="P25" s="46"/>
      <c r="Q25" s="46"/>
      <c r="R25" s="46"/>
      <c r="S25" s="46"/>
      <c r="T25" s="46"/>
    </row>
    <row r="26" spans="1:20" ht="13.15" customHeight="1">
      <c r="B26" s="338"/>
      <c r="F26" s="352"/>
      <c r="G26" s="50"/>
      <c r="H26" s="50"/>
      <c r="J26" s="31"/>
      <c r="K26" s="31"/>
      <c r="L26" s="31"/>
      <c r="M26" s="31"/>
      <c r="N26" s="31"/>
      <c r="O26" s="31"/>
      <c r="P26" s="31"/>
      <c r="Q26" s="31"/>
      <c r="R26" s="31"/>
      <c r="S26" s="31"/>
      <c r="T26" s="31"/>
    </row>
    <row r="27" spans="1:20">
      <c r="A27" s="42"/>
      <c r="B27" s="313"/>
      <c r="C27" s="24"/>
      <c r="D27" s="24"/>
      <c r="F27" s="50"/>
      <c r="G27" s="50"/>
      <c r="H27" s="50"/>
      <c r="J27" s="31"/>
      <c r="K27" s="31"/>
      <c r="L27" s="31"/>
      <c r="M27" s="31"/>
      <c r="N27" s="31"/>
      <c r="O27" s="31"/>
      <c r="P27" s="31"/>
      <c r="Q27" s="31"/>
      <c r="R27" s="31"/>
      <c r="S27" s="31"/>
      <c r="T27" s="31"/>
    </row>
    <row r="28" spans="1:20" ht="18.75">
      <c r="A28" s="42"/>
      <c r="B28" s="313"/>
      <c r="C28" s="24"/>
      <c r="D28" s="43"/>
      <c r="F28" s="50"/>
      <c r="G28" s="50"/>
      <c r="H28" s="50"/>
      <c r="I28" s="50"/>
      <c r="J28" s="50"/>
      <c r="K28" s="50"/>
      <c r="L28" s="31"/>
      <c r="M28" s="31"/>
      <c r="N28" s="31"/>
      <c r="O28" s="31"/>
      <c r="P28" s="31"/>
      <c r="Q28" s="31"/>
      <c r="R28" s="31"/>
      <c r="S28" s="31"/>
      <c r="T28" s="31"/>
    </row>
    <row r="29" spans="1:20" ht="18.75">
      <c r="A29" s="44"/>
      <c r="B29" s="339"/>
      <c r="D29" s="45"/>
      <c r="I29" s="46"/>
      <c r="L29" s="6"/>
      <c r="O29" s="31"/>
      <c r="P29" s="31"/>
      <c r="Q29" s="31"/>
      <c r="R29" s="31"/>
      <c r="S29" s="31"/>
      <c r="T29" s="31"/>
    </row>
    <row r="30" spans="1:20" ht="21">
      <c r="A30" s="47"/>
      <c r="B30" s="314"/>
      <c r="C30" s="48"/>
      <c r="D30" s="49"/>
      <c r="F30" s="24"/>
      <c r="H30" s="24"/>
      <c r="I30" s="50"/>
      <c r="J30" s="24"/>
      <c r="K30" s="24"/>
      <c r="O30" s="31"/>
      <c r="P30" s="31"/>
      <c r="Q30" s="31"/>
      <c r="R30" s="31"/>
      <c r="S30" s="31"/>
      <c r="T30" s="31"/>
    </row>
    <row r="31" spans="1:20" s="19" customFormat="1">
      <c r="A31" s="51"/>
      <c r="B31" s="315"/>
      <c r="C31" s="52"/>
      <c r="D31" s="52"/>
      <c r="E31" s="52"/>
      <c r="F31" s="52"/>
      <c r="H31" s="52"/>
      <c r="I31" s="52"/>
      <c r="J31" s="53"/>
      <c r="K31" s="52"/>
      <c r="L31" s="24"/>
    </row>
    <row r="32" spans="1:20">
      <c r="A32" s="54"/>
      <c r="B32" s="316"/>
      <c r="C32" s="55"/>
      <c r="D32" s="56"/>
      <c r="E32" s="55"/>
      <c r="F32" s="55"/>
      <c r="H32" s="57"/>
      <c r="I32" s="55"/>
      <c r="J32" s="57"/>
      <c r="K32" s="57"/>
    </row>
    <row r="33" spans="1:17" s="24" customFormat="1">
      <c r="A33" s="54"/>
      <c r="B33" s="316"/>
      <c r="C33" s="55"/>
      <c r="D33" s="55"/>
      <c r="E33" s="55"/>
      <c r="F33" s="55"/>
      <c r="H33" s="57"/>
      <c r="I33" s="55"/>
      <c r="J33" s="57"/>
      <c r="K33" s="57"/>
    </row>
    <row r="34" spans="1:17" s="59" customFormat="1">
      <c r="A34" s="40"/>
      <c r="B34" s="339"/>
      <c r="C34" s="58"/>
      <c r="D34" s="58"/>
      <c r="E34" s="19"/>
      <c r="F34" s="19"/>
      <c r="H34" s="5"/>
      <c r="I34" s="31"/>
      <c r="J34" s="5"/>
      <c r="K34" s="5"/>
      <c r="L34" s="57"/>
      <c r="M34" s="57"/>
      <c r="N34" s="55"/>
      <c r="O34" s="55"/>
      <c r="P34" s="60"/>
      <c r="Q34" s="60"/>
    </row>
    <row r="35" spans="1:17" s="59" customFormat="1">
      <c r="A35" s="44"/>
      <c r="B35" s="339"/>
      <c r="C35" s="5"/>
      <c r="D35" s="5"/>
      <c r="E35" s="5"/>
      <c r="F35" s="5"/>
      <c r="H35" s="5"/>
      <c r="I35" s="31"/>
      <c r="J35" s="5"/>
      <c r="K35" s="5"/>
      <c r="L35" s="57"/>
      <c r="M35" s="57"/>
      <c r="N35" s="55"/>
      <c r="O35" s="55"/>
      <c r="P35" s="60"/>
      <c r="Q35" s="60"/>
    </row>
    <row r="36" spans="1:17" s="24" customFormat="1">
      <c r="A36" s="40"/>
      <c r="B36" s="339"/>
      <c r="C36" s="5"/>
      <c r="D36" s="5"/>
      <c r="E36" s="5"/>
      <c r="F36" s="5"/>
      <c r="G36" s="5"/>
      <c r="H36" s="5"/>
      <c r="I36" s="31"/>
      <c r="J36" s="5"/>
      <c r="K36" s="5"/>
      <c r="L36" s="57"/>
      <c r="M36" s="57"/>
      <c r="N36" s="55"/>
      <c r="O36" s="55"/>
      <c r="P36" s="60"/>
      <c r="Q36" s="60"/>
    </row>
    <row r="37" spans="1:17">
      <c r="A37" s="44"/>
      <c r="B37" s="339"/>
      <c r="J37" s="61"/>
    </row>
    <row r="38" spans="1:17" ht="51.4" customHeight="1">
      <c r="A38" s="40"/>
      <c r="B38" s="339"/>
    </row>
    <row r="39" spans="1:17">
      <c r="A39" s="44"/>
      <c r="B39" s="339"/>
    </row>
    <row r="40" spans="1:17">
      <c r="A40" s="44"/>
      <c r="B40" s="339"/>
    </row>
    <row r="41" spans="1:17">
      <c r="A41" s="44"/>
      <c r="B41" s="339"/>
    </row>
    <row r="42" spans="1:17">
      <c r="A42" s="40"/>
      <c r="B42" s="339"/>
    </row>
    <row r="43" spans="1:17">
      <c r="A43" s="40"/>
      <c r="B43" s="339"/>
    </row>
    <row r="44" spans="1:17">
      <c r="A44" s="40"/>
      <c r="B44" s="339"/>
    </row>
    <row r="45" spans="1:17">
      <c r="A45" s="40"/>
      <c r="B45" s="339"/>
    </row>
    <row r="46" spans="1:17">
      <c r="A46" s="40"/>
      <c r="B46" s="339"/>
    </row>
    <row r="47" spans="1:17">
      <c r="A47" s="40"/>
      <c r="B47" s="339"/>
    </row>
    <row r="48" spans="1:17">
      <c r="A48" s="40"/>
      <c r="B48" s="339"/>
    </row>
    <row r="49" spans="1:2">
      <c r="A49" s="40"/>
      <c r="B49" s="339"/>
    </row>
    <row r="50" spans="1:2">
      <c r="A50" s="40"/>
      <c r="B50" s="339"/>
    </row>
    <row r="51" spans="1:2">
      <c r="A51" s="40"/>
      <c r="B51" s="339"/>
    </row>
    <row r="52" spans="1:2">
      <c r="B52" s="338"/>
    </row>
    <row r="53" spans="1:2">
      <c r="B53" s="338"/>
    </row>
    <row r="54" spans="1:2">
      <c r="B54" s="338"/>
    </row>
    <row r="55" spans="1:2">
      <c r="B55" s="338"/>
    </row>
    <row r="56" spans="1:2">
      <c r="B56" s="338"/>
    </row>
    <row r="57" spans="1:2">
      <c r="B57" s="338"/>
    </row>
    <row r="58" spans="1:2">
      <c r="B58" s="338"/>
    </row>
    <row r="59" spans="1:2">
      <c r="B59" s="338"/>
    </row>
    <row r="60" spans="1:2">
      <c r="B60" s="338"/>
    </row>
    <row r="61" spans="1:2">
      <c r="B61" s="338"/>
    </row>
    <row r="62" spans="1:2">
      <c r="B62" s="338"/>
    </row>
    <row r="63" spans="1:2">
      <c r="B63" s="338"/>
    </row>
    <row r="64" spans="1:2">
      <c r="B64" s="338"/>
    </row>
    <row r="65" spans="2:2">
      <c r="B65" s="338"/>
    </row>
    <row r="66" spans="2:2">
      <c r="B66" s="338"/>
    </row>
    <row r="67" spans="2:2">
      <c r="B67" s="338"/>
    </row>
    <row r="68" spans="2:2">
      <c r="B68" s="338"/>
    </row>
    <row r="69" spans="2:2">
      <c r="B69" s="338"/>
    </row>
    <row r="70" spans="2:2">
      <c r="B70" s="338"/>
    </row>
    <row r="71" spans="2:2">
      <c r="B71" s="338"/>
    </row>
    <row r="72" spans="2:2">
      <c r="B72" s="338"/>
    </row>
    <row r="73" spans="2:2">
      <c r="B73" s="338"/>
    </row>
    <row r="74" spans="2:2">
      <c r="B74" s="338"/>
    </row>
    <row r="75" spans="2:2">
      <c r="B75" s="338"/>
    </row>
    <row r="76" spans="2:2">
      <c r="B76" s="338"/>
    </row>
    <row r="77" spans="2:2">
      <c r="B77" s="338"/>
    </row>
    <row r="78" spans="2:2">
      <c r="B78" s="338"/>
    </row>
    <row r="79" spans="2:2">
      <c r="B79" s="338"/>
    </row>
    <row r="80" spans="2:2">
      <c r="B80" s="338"/>
    </row>
    <row r="81" spans="2:2">
      <c r="B81" s="338"/>
    </row>
    <row r="82" spans="2:2">
      <c r="B82" s="338"/>
    </row>
    <row r="83" spans="2:2">
      <c r="B83" s="338"/>
    </row>
    <row r="84" spans="2:2">
      <c r="B84" s="338"/>
    </row>
    <row r="85" spans="2:2">
      <c r="B85" s="338"/>
    </row>
    <row r="86" spans="2:2">
      <c r="B86" s="338"/>
    </row>
    <row r="87" spans="2:2">
      <c r="B87" s="338"/>
    </row>
    <row r="88" spans="2:2">
      <c r="B88" s="338"/>
    </row>
    <row r="89" spans="2:2">
      <c r="B89" s="338"/>
    </row>
    <row r="90" spans="2:2">
      <c r="B90" s="338"/>
    </row>
    <row r="91" spans="2:2">
      <c r="B91" s="338"/>
    </row>
    <row r="92" spans="2:2">
      <c r="B92" s="338"/>
    </row>
    <row r="93" spans="2:2">
      <c r="B93" s="338"/>
    </row>
    <row r="94" spans="2:2">
      <c r="B94" s="338"/>
    </row>
    <row r="95" spans="2:2">
      <c r="B95" s="338"/>
    </row>
    <row r="96" spans="2:2">
      <c r="B96" s="338"/>
    </row>
    <row r="97" spans="2:2">
      <c r="B97" s="338"/>
    </row>
    <row r="98" spans="2:2">
      <c r="B98" s="338"/>
    </row>
    <row r="99" spans="2:2">
      <c r="B99" s="338"/>
    </row>
    <row r="100" spans="2:2">
      <c r="B100" s="338"/>
    </row>
    <row r="101" spans="2:2">
      <c r="B101" s="338"/>
    </row>
    <row r="102" spans="2:2">
      <c r="B102" s="338"/>
    </row>
    <row r="103" spans="2:2">
      <c r="B103" s="338"/>
    </row>
    <row r="104" spans="2:2">
      <c r="B104" s="338"/>
    </row>
    <row r="105" spans="2:2">
      <c r="B105" s="338"/>
    </row>
    <row r="106" spans="2:2">
      <c r="B106" s="338"/>
    </row>
    <row r="107" spans="2:2">
      <c r="B107" s="338"/>
    </row>
    <row r="108" spans="2:2">
      <c r="B108" s="338"/>
    </row>
    <row r="109" spans="2:2">
      <c r="B109" s="338"/>
    </row>
    <row r="110" spans="2:2">
      <c r="B110" s="338"/>
    </row>
    <row r="111" spans="2:2">
      <c r="B111" s="338"/>
    </row>
    <row r="112" spans="2:2">
      <c r="B112" s="338"/>
    </row>
    <row r="113" spans="2:2">
      <c r="B113" s="338"/>
    </row>
    <row r="114" spans="2:2">
      <c r="B114" s="338"/>
    </row>
    <row r="115" spans="2:2">
      <c r="B115" s="338"/>
    </row>
    <row r="116" spans="2:2">
      <c r="B116" s="338"/>
    </row>
    <row r="117" spans="2:2">
      <c r="B117" s="338"/>
    </row>
    <row r="118" spans="2:2">
      <c r="B118" s="338"/>
    </row>
    <row r="119" spans="2:2">
      <c r="B119" s="338"/>
    </row>
    <row r="120" spans="2:2">
      <c r="B120" s="338"/>
    </row>
    <row r="121" spans="2:2">
      <c r="B121" s="338"/>
    </row>
    <row r="122" spans="2:2">
      <c r="B122" s="338"/>
    </row>
    <row r="123" spans="2:2">
      <c r="B123" s="338"/>
    </row>
    <row r="124" spans="2:2">
      <c r="B124" s="338"/>
    </row>
    <row r="125" spans="2:2">
      <c r="B125" s="338"/>
    </row>
    <row r="126" spans="2:2">
      <c r="B126" s="338"/>
    </row>
    <row r="127" spans="2:2">
      <c r="B127" s="338"/>
    </row>
    <row r="128" spans="2:2">
      <c r="B128" s="338"/>
    </row>
    <row r="129" spans="2:2">
      <c r="B129" s="338"/>
    </row>
    <row r="130" spans="2:2">
      <c r="B130" s="338"/>
    </row>
    <row r="131" spans="2:2">
      <c r="B131" s="338"/>
    </row>
    <row r="132" spans="2:2">
      <c r="B132" s="338"/>
    </row>
    <row r="133" spans="2:2">
      <c r="B133" s="338"/>
    </row>
    <row r="134" spans="2:2">
      <c r="B134" s="338"/>
    </row>
    <row r="135" spans="2:2">
      <c r="B135" s="338"/>
    </row>
    <row r="136" spans="2:2">
      <c r="B136" s="338"/>
    </row>
    <row r="137" spans="2:2">
      <c r="B137" s="338"/>
    </row>
    <row r="138" spans="2:2">
      <c r="B138" s="338"/>
    </row>
    <row r="139" spans="2:2">
      <c r="B139" s="338"/>
    </row>
    <row r="140" spans="2:2">
      <c r="B140" s="338"/>
    </row>
    <row r="141" spans="2:2">
      <c r="B141" s="338"/>
    </row>
    <row r="142" spans="2:2">
      <c r="B142" s="338"/>
    </row>
    <row r="143" spans="2:2">
      <c r="B143" s="338"/>
    </row>
    <row r="144" spans="2:2">
      <c r="B144" s="338"/>
    </row>
    <row r="145" spans="2:2">
      <c r="B145" s="338"/>
    </row>
    <row r="146" spans="2:2">
      <c r="B146" s="338"/>
    </row>
    <row r="147" spans="2:2">
      <c r="B147" s="338"/>
    </row>
    <row r="148" spans="2:2">
      <c r="B148" s="338"/>
    </row>
    <row r="149" spans="2:2">
      <c r="B149" s="338"/>
    </row>
    <row r="150" spans="2:2">
      <c r="B150" s="338"/>
    </row>
    <row r="151" spans="2:2">
      <c r="B151" s="338"/>
    </row>
    <row r="152" spans="2:2">
      <c r="B152" s="338"/>
    </row>
    <row r="153" spans="2:2">
      <c r="B153" s="338"/>
    </row>
    <row r="154" spans="2:2">
      <c r="B154" s="338"/>
    </row>
    <row r="155" spans="2:2">
      <c r="B155" s="338"/>
    </row>
    <row r="156" spans="2:2">
      <c r="B156" s="338"/>
    </row>
    <row r="157" spans="2:2">
      <c r="B157" s="338"/>
    </row>
    <row r="158" spans="2:2">
      <c r="B158" s="338"/>
    </row>
    <row r="159" spans="2:2">
      <c r="B159" s="338"/>
    </row>
    <row r="160" spans="2:2">
      <c r="B160" s="338"/>
    </row>
    <row r="161" spans="2:2">
      <c r="B161" s="338"/>
    </row>
    <row r="162" spans="2:2">
      <c r="B162" s="338"/>
    </row>
    <row r="163" spans="2:2">
      <c r="B163" s="338"/>
    </row>
    <row r="164" spans="2:2">
      <c r="B164" s="338"/>
    </row>
    <row r="165" spans="2:2">
      <c r="B165" s="338"/>
    </row>
    <row r="166" spans="2:2">
      <c r="B166" s="338"/>
    </row>
    <row r="167" spans="2:2">
      <c r="B167" s="338"/>
    </row>
    <row r="168" spans="2:2">
      <c r="B168" s="338"/>
    </row>
    <row r="169" spans="2:2">
      <c r="B169" s="338"/>
    </row>
    <row r="170" spans="2:2">
      <c r="B170" s="338"/>
    </row>
    <row r="171" spans="2:2">
      <c r="B171" s="338"/>
    </row>
    <row r="172" spans="2:2">
      <c r="B172" s="338"/>
    </row>
    <row r="173" spans="2:2">
      <c r="B173" s="338"/>
    </row>
    <row r="174" spans="2:2">
      <c r="B174" s="338"/>
    </row>
    <row r="175" spans="2:2">
      <c r="B175" s="338"/>
    </row>
    <row r="176" spans="2:2">
      <c r="B176" s="338"/>
    </row>
    <row r="177" spans="2:2">
      <c r="B177" s="338"/>
    </row>
    <row r="178" spans="2:2">
      <c r="B178" s="338"/>
    </row>
    <row r="179" spans="2:2">
      <c r="B179" s="338"/>
    </row>
    <row r="180" spans="2:2">
      <c r="B180" s="338"/>
    </row>
    <row r="181" spans="2:2">
      <c r="B181" s="338"/>
    </row>
    <row r="182" spans="2:2">
      <c r="B182" s="338"/>
    </row>
    <row r="183" spans="2:2">
      <c r="B183" s="338"/>
    </row>
    <row r="184" spans="2:2">
      <c r="B184" s="338"/>
    </row>
    <row r="185" spans="2:2">
      <c r="B185" s="338"/>
    </row>
    <row r="186" spans="2:2">
      <c r="B186" s="338"/>
    </row>
    <row r="187" spans="2:2">
      <c r="B187" s="338"/>
    </row>
    <row r="188" spans="2:2">
      <c r="B188" s="338"/>
    </row>
    <row r="189" spans="2:2">
      <c r="B189" s="338"/>
    </row>
    <row r="190" spans="2:2">
      <c r="B190" s="338"/>
    </row>
    <row r="191" spans="2:2">
      <c r="B191" s="338"/>
    </row>
    <row r="192" spans="2:2">
      <c r="B192" s="338"/>
    </row>
    <row r="193" spans="2:2">
      <c r="B193" s="338"/>
    </row>
    <row r="194" spans="2:2">
      <c r="B194" s="338"/>
    </row>
    <row r="195" spans="2:2">
      <c r="B195" s="338"/>
    </row>
    <row r="196" spans="2:2">
      <c r="B196" s="338"/>
    </row>
    <row r="197" spans="2:2">
      <c r="B197" s="338"/>
    </row>
    <row r="198" spans="2:2">
      <c r="B198" s="338"/>
    </row>
    <row r="199" spans="2:2">
      <c r="B199" s="338"/>
    </row>
    <row r="200" spans="2:2">
      <c r="B200" s="338"/>
    </row>
    <row r="201" spans="2:2">
      <c r="B201" s="338"/>
    </row>
    <row r="202" spans="2:2">
      <c r="B202" s="338"/>
    </row>
    <row r="203" spans="2:2">
      <c r="B203" s="338"/>
    </row>
    <row r="204" spans="2:2">
      <c r="B204" s="338"/>
    </row>
    <row r="205" spans="2:2">
      <c r="B205" s="338"/>
    </row>
    <row r="206" spans="2:2">
      <c r="B206" s="338"/>
    </row>
    <row r="207" spans="2:2">
      <c r="B207" s="338"/>
    </row>
    <row r="208" spans="2:2">
      <c r="B208" s="338"/>
    </row>
    <row r="209" spans="2:2">
      <c r="B209" s="338"/>
    </row>
    <row r="210" spans="2:2">
      <c r="B210" s="338"/>
    </row>
    <row r="211" spans="2:2">
      <c r="B211" s="338"/>
    </row>
    <row r="212" spans="2:2">
      <c r="B212" s="338"/>
    </row>
    <row r="213" spans="2:2">
      <c r="B213" s="338"/>
    </row>
    <row r="214" spans="2:2">
      <c r="B214" s="338"/>
    </row>
    <row r="215" spans="2:2">
      <c r="B215" s="338"/>
    </row>
    <row r="216" spans="2:2">
      <c r="B216" s="338"/>
    </row>
    <row r="217" spans="2:2">
      <c r="B217" s="338"/>
    </row>
    <row r="218" spans="2:2">
      <c r="B218" s="338"/>
    </row>
    <row r="219" spans="2:2">
      <c r="B219" s="338"/>
    </row>
    <row r="220" spans="2:2">
      <c r="B220" s="338"/>
    </row>
  </sheetData>
  <sheetProtection algorithmName="SHA-512" hashValue="mNlwt+AtxdWMGVzLg3WHNimQMDNwvMOCdwb0vpCw1Fe+cwTbKODj6RDf3BFOXKDJo4Bi2POsWr/c4kKPoZBrEg==" saltValue="Ym3qswNFR9ai7bggs/O60A==" spinCount="100000" sheet="1"/>
  <mergeCells count="1">
    <mergeCell ref="D1:E1"/>
  </mergeCells>
  <dataValidations disablePrompts="1" count="1">
    <dataValidation type="list" allowBlank="1" showInputMessage="1" showErrorMessage="1" sqref="C3" xr:uid="{00000000-0002-0000-0000-000000000000}">
      <formula1>Soil_Type</formula1>
    </dataValidation>
  </dataValidations>
  <pageMargins left="0.25" right="0.25" top="0.75" bottom="0.75" header="0.3" footer="0.3"/>
  <pageSetup scale="51" orientation="portrait" r:id="rId1"/>
  <drawing r:id="rId2"/>
  <legacyDrawing r:id="rId3"/>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000-000001000000}">
          <x14:formula1>
            <xm:f>'Emission and Conversion Factors'!$D$22:$D$23</xm:f>
          </x14:formula1>
          <xm:sqref>C4</xm:sqref>
        </x14:dataValidation>
        <x14:dataValidation type="list" allowBlank="1" showInputMessage="1" showErrorMessage="1" xr:uid="{00000000-0002-0000-0000-000002000000}">
          <x14:formula1>
            <xm:f>'Emission and Conversion Factors'!$A$22:$A$33</xm:f>
          </x14:formula1>
          <xm:sqref>C2</xm:sqref>
        </x14:dataValidation>
        <x14:dataValidation type="list" allowBlank="1" showInputMessage="1" showErrorMessage="1" xr:uid="{00000000-0002-0000-0000-000003000000}">
          <x14:formula1>
            <xm:f>'Emission and Conversion Factors'!$F$35:$F$39</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7030A0"/>
    <pageSetUpPr fitToPage="1"/>
  </sheetPr>
  <dimension ref="A1:L75"/>
  <sheetViews>
    <sheetView topLeftCell="A2" zoomScale="130" zoomScaleNormal="130" workbookViewId="0">
      <selection activeCell="C3" sqref="C3"/>
    </sheetView>
  </sheetViews>
  <sheetFormatPr defaultColWidth="9.140625" defaultRowHeight="15"/>
  <cols>
    <col min="1" max="1" width="42.7109375" style="5" customWidth="1"/>
    <col min="2" max="2" width="24.140625" style="5" bestFit="1" customWidth="1"/>
    <col min="3" max="3" width="13.28515625" style="5" customWidth="1"/>
    <col min="4" max="4" width="10.42578125" style="19" customWidth="1"/>
    <col min="5" max="5" width="28.85546875" style="5" customWidth="1"/>
    <col min="6" max="6" width="9.7109375" style="5" customWidth="1"/>
    <col min="7" max="7" width="20" style="5" customWidth="1"/>
    <col min="8" max="8" width="7.85546875" style="5" customWidth="1"/>
    <col min="9" max="9" width="16.7109375" style="5" customWidth="1"/>
    <col min="10" max="10" width="13.140625" style="5" bestFit="1" customWidth="1"/>
    <col min="11" max="11" width="13.28515625" style="5" customWidth="1"/>
    <col min="12" max="16384" width="9.140625" style="5"/>
  </cols>
  <sheetData>
    <row r="1" spans="1:12">
      <c r="A1" s="79" t="s">
        <v>4</v>
      </c>
      <c r="B1" s="79" t="s">
        <v>0</v>
      </c>
      <c r="C1" s="79" t="s">
        <v>5</v>
      </c>
      <c r="D1" s="80"/>
    </row>
    <row r="2" spans="1:12">
      <c r="A2" s="81" t="s">
        <v>27</v>
      </c>
      <c r="B2" s="82"/>
      <c r="C2" s="82"/>
      <c r="D2" s="83"/>
      <c r="E2" s="61"/>
    </row>
    <row r="3" spans="1:12">
      <c r="A3" s="84" t="s">
        <v>259</v>
      </c>
      <c r="B3" s="85" t="s">
        <v>24</v>
      </c>
      <c r="C3" s="355">
        <f>((trench_width_up+trench_width_low)/2*Trench_Depth)</f>
        <v>2.84375</v>
      </c>
      <c r="D3" s="86"/>
    </row>
    <row r="4" spans="1:12">
      <c r="A4" s="84" t="s">
        <v>286</v>
      </c>
      <c r="B4" s="85" t="s">
        <v>24</v>
      </c>
      <c r="C4" s="355">
        <f>OC_Excv_Vol_m3/((Pipe_Length+((No_Lateral_Connections*LC_Length)+(No_Lateral_Connections_Far_Side*LC_Length_Far))))</f>
        <v>2.7604943794235033</v>
      </c>
      <c r="D4" s="86"/>
    </row>
    <row r="5" spans="1:12">
      <c r="A5" s="84" t="s">
        <v>108</v>
      </c>
      <c r="B5" s="85" t="s">
        <v>6</v>
      </c>
      <c r="C5" s="87">
        <f>(OC_CrossSection_m2*Pipe_Length)+((No_Lateral_Connections*LC_Length*LC_Width*(LC_Depth+CONVERT(1,"ft","m")))+((No_Lateral_Connections_Far_Side*LC_Length_FarSide*LC_Width*(LC_Depth+CONVERT(1,"ft","m")))))</f>
        <v>622.49148256000001</v>
      </c>
      <c r="D5" s="88"/>
      <c r="E5" s="61"/>
      <c r="F5" s="89"/>
      <c r="G5" s="89"/>
    </row>
    <row r="6" spans="1:12" ht="23.25" customHeight="1">
      <c r="A6" s="84" t="s">
        <v>260</v>
      </c>
      <c r="B6" s="85" t="s">
        <v>52</v>
      </c>
      <c r="C6" s="90">
        <f>((OC_Excv_Vol_m3*(1-Prcntg_Soil_reused)/Truck_Capacity_m3)*1.5)</f>
        <v>124.498296512</v>
      </c>
      <c r="D6" s="91"/>
      <c r="E6" s="61"/>
      <c r="F6" s="89"/>
      <c r="G6" s="89"/>
    </row>
    <row r="7" spans="1:12">
      <c r="A7" s="84" t="s">
        <v>119</v>
      </c>
      <c r="B7" s="85" t="s">
        <v>198</v>
      </c>
      <c r="C7" s="92">
        <f>IF(User_Prodctivity_m_per_8hr_day&lt;&gt;"",User_Prodctivity_m_per_8hr_day,((8/((HLOOKUP(Soil_Type_dropdown,Productivity!B17:F20,3,FALSE))*IF(Trench_Depth&lt;1.7,1,1.25))*76.5)/OC_CrossSection_ADJ))</f>
        <v>18.92844559012131</v>
      </c>
      <c r="D7" s="93"/>
      <c r="F7" s="94"/>
      <c r="G7" s="89"/>
    </row>
    <row r="8" spans="1:12">
      <c r="A8" s="84" t="s">
        <v>101</v>
      </c>
      <c r="B8" s="85" t="s">
        <v>48</v>
      </c>
      <c r="C8" s="90">
        <f>(((OC_Excv_Vol_m3/OC_CrossSection_ADJ)/meters_length_per_8hr_day)*8)*IF(Surface_Conditions_Dropdown=Dry_Soil, 1, 1.3)</f>
        <v>123.8981821742379</v>
      </c>
      <c r="D8" s="91"/>
      <c r="F8" s="94"/>
      <c r="G8" s="89"/>
    </row>
    <row r="9" spans="1:12" ht="18">
      <c r="A9" s="84" t="s">
        <v>100</v>
      </c>
      <c r="B9" s="85" t="s">
        <v>83</v>
      </c>
      <c r="C9" s="95">
        <f>OC_Excv_Time_hrs*Mach_Excv_Emis_PerHr+(IF(Surface_Conditions_Dropdown=Dry_Soil,0,((OC_Excv_Time_hrs/8)*24*DeWater_Emis_PerHr)))</f>
        <v>53906.82271321358</v>
      </c>
      <c r="D9" s="96"/>
      <c r="I9" s="61"/>
    </row>
    <row r="10" spans="1:12" ht="18">
      <c r="A10" s="84" t="s">
        <v>102</v>
      </c>
      <c r="B10" s="85" t="s">
        <v>83</v>
      </c>
      <c r="C10" s="90">
        <f>OC_No_ReturnTrips*2*Haul_Distance*Diesel_Truck_Emis_Factor*(IF(Truck_Capacity_m3&lt;=8,Truck15T_FE_Full,Truck35T_FE_Full)*1.15)</f>
        <v>4292.6141149262003</v>
      </c>
      <c r="D10" s="97"/>
      <c r="E10" s="40"/>
      <c r="I10" s="94"/>
    </row>
    <row r="11" spans="1:12" ht="18.75">
      <c r="A11" s="84" t="s">
        <v>103</v>
      </c>
      <c r="B11" s="85" t="s">
        <v>83</v>
      </c>
      <c r="C11" s="98">
        <f>OC_Mach_Emis+OC_Haul_Emis</f>
        <v>58199.436828139776</v>
      </c>
      <c r="D11" s="91"/>
      <c r="I11" s="61"/>
    </row>
    <row r="12" spans="1:12" ht="18.75">
      <c r="D12" s="99"/>
      <c r="I12" s="61"/>
    </row>
    <row r="13" spans="1:12" ht="15.75">
      <c r="A13" s="100" t="s">
        <v>55</v>
      </c>
      <c r="B13" s="393" t="str">
        <f>'Inputs '!C2</f>
        <v>Pipe Bursting</v>
      </c>
      <c r="C13" s="393"/>
      <c r="D13" s="101"/>
      <c r="F13" s="102"/>
    </row>
    <row r="14" spans="1:12">
      <c r="A14" s="84" t="s">
        <v>237</v>
      </c>
      <c r="B14" s="85" t="s">
        <v>6</v>
      </c>
      <c r="C14" s="90">
        <f>IF(TrenchlessTechnology=Cured_in_Place_Pipe_Lining__CIPP,1,(No_EntryPits*EnP_Length*EnP_Width*(EnP_Depth+CONVERT(1,"ft","m"))+(No_ExitPits*ExPit_Length*ExP_Width*ExP_Depth)))+IF(OR(TrenchlessTechnology=Pipe_Ramming,TrenchlessTechnology=Horizontal_Auger_Boring,TrenchlessTechnology=Micro_Tunneling,TrenchlessTechnology=Horizontal_Directional_Drilling__HDD), Pipe_Length*(PI()*(Pipe_Diameter_m/2)^2),0)</f>
        <v>22.296729600000003</v>
      </c>
      <c r="D14" s="103"/>
      <c r="E14" s="40"/>
    </row>
    <row r="15" spans="1:12">
      <c r="A15" s="104" t="s">
        <v>110</v>
      </c>
      <c r="B15" s="85" t="s">
        <v>6</v>
      </c>
      <c r="C15" s="105">
        <f>IF(TrenchlessTechnology=Cured_in_Place_Pipe_Lining__CIPP,0,(IF(OR(TrenchlessTechnology=Pipe_Bursting,TrenchlessTechnology=Slip_Lining),(IF(LC_Length&lt;6.1,(No_Lateral_Connections*LC_Length*LC_Width*(LC_Depth+CONVERT(1,"ft","m"))),(No_Lateral_Connections*2*((1.5*1.5*(Trench_Depth+0.3)))))+IF(LC_Length_Far&lt;6.1,(No_Lateral_Connections_Far_Side*LC_Length_Far*LC_Width*(LC_Depth+CONVERT(1,"ft","m"))),(No_Lateral_Connections_Far_Side*2*((1.5*1.5*(Trench_Depth+0.3)))))),((No_Lateral_Connections*LC_Length*LC_Width*(LC_Depth+CONVERT(1,"ft","m")))+((No_Lateral_Connections_Far_Side*LC_Length_Far*LC_Width*(LC_Depth+CONVERT(1,"ft","m"))))))))</f>
        <v>53.741482560000001</v>
      </c>
      <c r="D15" s="103"/>
      <c r="E15" s="106"/>
    </row>
    <row r="16" spans="1:12">
      <c r="A16" s="84" t="s">
        <v>109</v>
      </c>
      <c r="B16" s="85" t="s">
        <v>6</v>
      </c>
      <c r="C16" s="90">
        <f>(AllPits_Excv_Vol_m3+LC_Excv_Vol)</f>
        <v>76.03821216</v>
      </c>
      <c r="D16" s="103"/>
      <c r="K16" s="107"/>
      <c r="L16" s="108"/>
    </row>
    <row r="17" spans="1:7">
      <c r="A17" s="84" t="s">
        <v>306</v>
      </c>
      <c r="B17" s="85" t="s">
        <v>24</v>
      </c>
      <c r="C17" s="359">
        <f>TR_Excv_Vol/((SP_Length*No_Manholes)+(LC_Length*No_Lateral_Connections)+(LC_Length_Far*No_Lateral_Connections_Far_Side)+(EnP_Length*No_EntryPits)+(ExPit_Length*No_ExitPits))</f>
        <v>1.7422374704426726</v>
      </c>
      <c r="D17" s="101"/>
      <c r="F17" s="102"/>
    </row>
    <row r="18" spans="1:7">
      <c r="A18" s="104" t="s">
        <v>75</v>
      </c>
      <c r="B18" s="85" t="s">
        <v>52</v>
      </c>
      <c r="C18" s="90">
        <f>((TR_Excv_Vol*(1-Prcntg_Soil_reused))/Truck_Capacity_m3)*1.5</f>
        <v>15.207642432</v>
      </c>
      <c r="D18" s="103"/>
    </row>
    <row r="19" spans="1:7">
      <c r="A19" s="104" t="s">
        <v>305</v>
      </c>
      <c r="B19" s="85" t="s">
        <v>198</v>
      </c>
      <c r="C19" s="90">
        <f>IF(User_Prodctivity_m_per_8hr_day&lt;&gt;"",User_Prodctivity_m_per_8hr_day,((8/((HLOOKUP(Soil_Type_dropdown,Productivity!B17:F20,3,FALSE))*IF(Trench_Depth&lt;1.7,1,1.25))*76.5)/TT_EXCV_CrossSection))</f>
        <v>29.991243185394911</v>
      </c>
      <c r="D19" s="103"/>
    </row>
    <row r="20" spans="1:7">
      <c r="A20" s="104" t="s">
        <v>98</v>
      </c>
      <c r="B20" s="85" t="s">
        <v>48</v>
      </c>
      <c r="C20" s="90">
        <f>((TR_Excv_Vol/TT_EXCV_CrossSection)/TT_EXCV_m_Length_per_8hrDay)*8*IF(Surface_Conditions_Dropdown=Dry_Soil, 1, 1.3)</f>
        <v>15.134337619623528</v>
      </c>
      <c r="D20" s="103"/>
      <c r="E20" s="40"/>
    </row>
    <row r="21" spans="1:7" ht="18">
      <c r="A21" s="84" t="s">
        <v>99</v>
      </c>
      <c r="B21" s="85" t="s">
        <v>83</v>
      </c>
      <c r="C21" s="90">
        <f>(TR_Excv_Time_hrs*Mach_Excv_Emis_PerHr)+(VLOOKUP(TrenchlessTechnology,'Emission and Conversion Factors'!A22:B33,2,FALSE))+(IF(OR(TrenchlessTechnology=Slip_Lining,TrenchlessTechnology=Cured_in_Place_Pipe_Lining__CIPP,Surface_Conditions_Dropdown=Dry_Soil),0,((TR_Excv_Time_hrs/8)*24*DeWater_Emis_PerHr)))</f>
        <v>6726.6354782947701</v>
      </c>
      <c r="D21" s="103"/>
      <c r="E21" s="109"/>
      <c r="F21" s="106"/>
      <c r="G21" s="110"/>
    </row>
    <row r="22" spans="1:7" ht="18">
      <c r="A22" s="104" t="s">
        <v>76</v>
      </c>
      <c r="B22" s="85" t="s">
        <v>83</v>
      </c>
      <c r="C22" s="90">
        <f>TR_No_Return_Trips*2*Truck15T_FE_Full*Haul_Distance*1.15*Diesel_Truck_Emis_Factor</f>
        <v>524.34886570565743</v>
      </c>
      <c r="D22" s="103"/>
      <c r="E22" s="109"/>
      <c r="F22" s="106"/>
      <c r="G22" s="19"/>
    </row>
    <row r="23" spans="1:7" ht="18.75">
      <c r="A23" s="104" t="s">
        <v>124</v>
      </c>
      <c r="B23" s="85" t="s">
        <v>83</v>
      </c>
      <c r="C23" s="98">
        <f>TR_Mach_Emis+TR_Haul_Emis</f>
        <v>7250.9843440004279</v>
      </c>
      <c r="D23" s="358"/>
      <c r="E23" s="109"/>
      <c r="F23" s="106"/>
      <c r="G23" s="19"/>
    </row>
    <row r="24" spans="1:7" ht="18.75">
      <c r="A24" s="361"/>
      <c r="B24" s="362"/>
      <c r="C24" s="363"/>
      <c r="D24" s="358"/>
      <c r="E24" s="109"/>
      <c r="F24" s="106"/>
      <c r="G24" s="19"/>
    </row>
    <row r="25" spans="1:7" ht="23.25">
      <c r="A25" s="370" t="s">
        <v>308</v>
      </c>
      <c r="B25" s="111"/>
      <c r="C25" s="119"/>
      <c r="D25" s="358"/>
      <c r="E25" s="109"/>
      <c r="F25" s="106"/>
      <c r="G25" s="19"/>
    </row>
    <row r="26" spans="1:7" ht="18.75">
      <c r="A26" s="371" t="s">
        <v>80</v>
      </c>
      <c r="B26" s="371"/>
      <c r="C26" s="372">
        <f>((C11-C23)/1000)</f>
        <v>50.948452484139352</v>
      </c>
      <c r="D26" s="358"/>
      <c r="E26" s="109"/>
      <c r="F26" s="106"/>
      <c r="G26" s="19"/>
    </row>
    <row r="27" spans="1:7" ht="18.75">
      <c r="A27" s="371" t="s">
        <v>303</v>
      </c>
      <c r="B27" s="371"/>
      <c r="C27" s="373">
        <f>1-(C23/C11)</f>
        <v>0.87541143455713766</v>
      </c>
      <c r="D27" s="358"/>
      <c r="E27" s="109"/>
      <c r="F27" s="106"/>
      <c r="G27" s="19"/>
    </row>
    <row r="28" spans="1:7" ht="18.75">
      <c r="A28" s="371" t="s">
        <v>304</v>
      </c>
      <c r="B28" s="374"/>
      <c r="C28" s="375">
        <f>((OC_Haul_Emis-TR_Haul_Emis)/Diesel_Truck_Emis_Factor)+((OC_Mach_Emis-TR_Mach_Emis)/Diesel_Emis_Factor)</f>
        <v>17623.667748468146</v>
      </c>
      <c r="D28" s="358"/>
      <c r="E28" s="109"/>
      <c r="F28" s="106"/>
      <c r="G28" s="19"/>
    </row>
    <row r="29" spans="1:7" ht="18.75">
      <c r="A29" s="371" t="s">
        <v>261</v>
      </c>
      <c r="B29" s="374"/>
      <c r="C29" s="375">
        <f>((OC_Excv_Vol_m3-TR_Excv_Vol)*(1-Prcntg_Soil_reused))/Truck_Capacity_m3</f>
        <v>72.860436053333345</v>
      </c>
      <c r="D29" s="358"/>
      <c r="E29" s="109"/>
      <c r="F29" s="106"/>
      <c r="G29" s="19"/>
    </row>
    <row r="30" spans="1:7" ht="18.75">
      <c r="A30" s="371" t="s">
        <v>277</v>
      </c>
      <c r="B30" s="374"/>
      <c r="C30" s="376">
        <f>OC_No_ReturnTrips-TR_No_Return_Trips</f>
        <v>109.29065408</v>
      </c>
      <c r="D30" s="358"/>
      <c r="E30" s="109"/>
      <c r="F30" s="106"/>
      <c r="G30" s="19"/>
    </row>
    <row r="31" spans="1:7" ht="21">
      <c r="A31" s="364" t="s">
        <v>309</v>
      </c>
      <c r="B31" s="367">
        <v>0.1</v>
      </c>
      <c r="C31" s="366"/>
      <c r="D31" s="25"/>
      <c r="E31" s="109"/>
      <c r="F31" s="106"/>
      <c r="G31" s="19"/>
    </row>
    <row r="32" spans="1:7" ht="18.75">
      <c r="A32" s="111" t="s">
        <v>80</v>
      </c>
      <c r="B32" s="111"/>
      <c r="C32" s="119">
        <f>C26-C26*$B$31</f>
        <v>45.85360723572542</v>
      </c>
      <c r="D32" s="28"/>
      <c r="E32" s="368"/>
    </row>
    <row r="33" spans="1:9" ht="18.75">
      <c r="A33" s="111" t="s">
        <v>304</v>
      </c>
      <c r="B33" s="112"/>
      <c r="C33" s="365">
        <f>C28-C28*$B$31</f>
        <v>15861.300973621332</v>
      </c>
      <c r="D33" s="113"/>
      <c r="E33" s="114"/>
    </row>
    <row r="34" spans="1:9" ht="18.75">
      <c r="A34" s="111" t="s">
        <v>261</v>
      </c>
      <c r="B34" s="112"/>
      <c r="C34" s="365">
        <f>C29-C29*$B$31</f>
        <v>65.574392448000012</v>
      </c>
      <c r="D34" s="110"/>
    </row>
    <row r="35" spans="1:9" s="24" customFormat="1" ht="18.75">
      <c r="A35" s="111" t="s">
        <v>277</v>
      </c>
      <c r="B35" s="112"/>
      <c r="C35" s="365">
        <f>C30-C30*$B$31</f>
        <v>98.361588671999996</v>
      </c>
      <c r="D35" s="115"/>
      <c r="E35" s="116"/>
      <c r="I35" s="117"/>
    </row>
    <row r="36" spans="1:9" s="24" customFormat="1">
      <c r="A36" s="5"/>
      <c r="B36" s="5"/>
      <c r="C36" s="5"/>
      <c r="E36" s="115"/>
      <c r="I36" s="117"/>
    </row>
    <row r="37" spans="1:9" s="24" customFormat="1">
      <c r="A37" s="5"/>
      <c r="B37" s="5"/>
      <c r="C37" s="5"/>
      <c r="E37" s="118"/>
      <c r="I37" s="117"/>
    </row>
    <row r="38" spans="1:9" s="24" customFormat="1">
      <c r="A38" s="377"/>
      <c r="B38" s="377"/>
      <c r="C38" s="377"/>
      <c r="D38" s="378"/>
      <c r="E38" s="378"/>
      <c r="F38" s="378"/>
      <c r="G38" s="378"/>
      <c r="H38" s="378"/>
      <c r="I38" s="378"/>
    </row>
    <row r="39" spans="1:9" s="24" customFormat="1">
      <c r="A39" s="377"/>
      <c r="B39" s="377"/>
      <c r="C39" s="377"/>
      <c r="D39" s="378"/>
      <c r="E39" s="379"/>
      <c r="F39" s="378"/>
      <c r="G39" s="378"/>
      <c r="H39" s="378"/>
      <c r="I39" s="378"/>
    </row>
    <row r="40" spans="1:9" s="24" customFormat="1">
      <c r="A40" s="377"/>
      <c r="B40" s="377"/>
      <c r="C40" s="377"/>
      <c r="D40" s="378"/>
      <c r="E40" s="379"/>
      <c r="F40" s="378"/>
      <c r="G40" s="378"/>
      <c r="H40" s="378"/>
      <c r="I40" s="378"/>
    </row>
    <row r="41" spans="1:9" s="24" customFormat="1">
      <c r="A41" s="378"/>
      <c r="B41" s="380"/>
      <c r="C41" s="381"/>
      <c r="D41" s="378"/>
      <c r="E41" s="378"/>
      <c r="F41" s="378"/>
      <c r="G41" s="378"/>
      <c r="H41" s="378"/>
      <c r="I41" s="378"/>
    </row>
    <row r="42" spans="1:9" s="24" customFormat="1">
      <c r="A42" s="382"/>
      <c r="B42" s="378"/>
      <c r="C42" s="383"/>
      <c r="D42" s="378"/>
      <c r="E42" s="378"/>
      <c r="F42" s="378"/>
      <c r="G42" s="378"/>
      <c r="H42" s="378"/>
      <c r="I42" s="378"/>
    </row>
    <row r="43" spans="1:9" s="24" customFormat="1">
      <c r="A43" s="382"/>
      <c r="B43" s="378"/>
      <c r="C43" s="378"/>
      <c r="D43" s="378"/>
      <c r="E43" s="378"/>
      <c r="F43" s="378"/>
      <c r="G43" s="378"/>
      <c r="H43" s="378"/>
      <c r="I43" s="378"/>
    </row>
    <row r="44" spans="1:9" s="24" customFormat="1">
      <c r="A44" s="382"/>
      <c r="B44" s="378"/>
      <c r="C44" s="378"/>
      <c r="D44" s="378"/>
      <c r="E44" s="378"/>
      <c r="F44" s="378"/>
      <c r="G44" s="378"/>
      <c r="H44" s="378"/>
      <c r="I44" s="378"/>
    </row>
    <row r="45" spans="1:9" s="24" customFormat="1">
      <c r="A45" s="386"/>
      <c r="B45" s="387" t="s">
        <v>291</v>
      </c>
      <c r="C45" s="387" t="s">
        <v>287</v>
      </c>
      <c r="D45" s="387" t="s">
        <v>311</v>
      </c>
      <c r="E45" s="387"/>
      <c r="F45" s="378"/>
      <c r="G45" s="378"/>
      <c r="H45" s="378"/>
      <c r="I45" s="378"/>
    </row>
    <row r="46" spans="1:9" s="24" customFormat="1">
      <c r="A46" s="386" t="s">
        <v>290</v>
      </c>
      <c r="B46" s="388">
        <f>OC_Total_Emis/1000</f>
        <v>58.199436828139774</v>
      </c>
      <c r="C46" s="389">
        <f>C23/1000</f>
        <v>7.250984344000428</v>
      </c>
      <c r="D46" s="390">
        <f t="shared" ref="D46:E48" si="0">B46-C46</f>
        <v>50.948452484139345</v>
      </c>
      <c r="E46" s="390">
        <f t="shared" si="0"/>
        <v>-43.697468140138916</v>
      </c>
      <c r="F46" s="378"/>
      <c r="G46" s="378"/>
      <c r="H46" s="378"/>
      <c r="I46" s="378"/>
    </row>
    <row r="47" spans="1:9" s="24" customFormat="1">
      <c r="A47" s="386" t="s">
        <v>289</v>
      </c>
      <c r="B47" s="388">
        <f>((OC_Haul_Emis/Diesel_Truck_Emis_Factor)+(OC_Mach_Emis/Diesel_Emis_Factor))/1000</f>
        <v>20.131425485808204</v>
      </c>
      <c r="C47" s="388">
        <f>((TR_Haul_Emis/Diesel_Truck_Emis_Factor)+(TR_Mach_Emis/Diesel_Emis_Factor))/1000</f>
        <v>2.5077577373400639</v>
      </c>
      <c r="D47" s="390">
        <f t="shared" si="0"/>
        <v>17.62366774846814</v>
      </c>
      <c r="E47" s="390">
        <f t="shared" si="0"/>
        <v>-15.115910011128076</v>
      </c>
      <c r="F47" s="378"/>
      <c r="G47" s="378"/>
      <c r="H47" s="378"/>
      <c r="I47" s="378"/>
    </row>
    <row r="48" spans="1:9" s="19" customFormat="1">
      <c r="A48" s="386" t="s">
        <v>288</v>
      </c>
      <c r="B48" s="388">
        <f>OC_No_ReturnTrips</f>
        <v>124.498296512</v>
      </c>
      <c r="C48" s="388">
        <f>TR_No_Return_Trips</f>
        <v>15.207642432</v>
      </c>
      <c r="D48" s="388">
        <f t="shared" si="0"/>
        <v>109.29065408</v>
      </c>
      <c r="E48" s="388">
        <f t="shared" si="0"/>
        <v>-94.083011647999996</v>
      </c>
      <c r="F48" s="384"/>
      <c r="G48" s="384"/>
      <c r="H48" s="384"/>
      <c r="I48" s="384"/>
    </row>
    <row r="49" spans="1:9" s="19" customFormat="1">
      <c r="A49" s="382"/>
      <c r="B49" s="378"/>
      <c r="C49" s="378"/>
      <c r="D49" s="384"/>
      <c r="E49" s="385"/>
      <c r="F49" s="384"/>
      <c r="G49" s="384"/>
      <c r="H49" s="384"/>
      <c r="I49" s="384"/>
    </row>
    <row r="50" spans="1:9" s="19" customFormat="1">
      <c r="A50" s="382"/>
      <c r="B50" s="378"/>
      <c r="C50" s="378"/>
      <c r="D50" s="384"/>
      <c r="E50" s="384"/>
      <c r="F50" s="384"/>
      <c r="G50" s="384"/>
      <c r="H50" s="384"/>
      <c r="I50" s="384"/>
    </row>
    <row r="51" spans="1:9" s="19" customFormat="1">
      <c r="D51" s="384"/>
      <c r="E51" s="384"/>
      <c r="F51" s="384"/>
      <c r="G51" s="384"/>
      <c r="H51" s="384"/>
      <c r="I51" s="384"/>
    </row>
    <row r="52" spans="1:9" s="19" customFormat="1">
      <c r="D52" s="384"/>
      <c r="E52" s="384"/>
      <c r="F52" s="384"/>
      <c r="G52" s="384"/>
      <c r="H52" s="384"/>
      <c r="I52" s="384"/>
    </row>
    <row r="53" spans="1:9">
      <c r="D53" s="384"/>
      <c r="E53" s="377"/>
      <c r="F53" s="377"/>
      <c r="G53" s="377"/>
      <c r="H53" s="377"/>
      <c r="I53" s="377"/>
    </row>
    <row r="54" spans="1:9">
      <c r="D54" s="384"/>
      <c r="E54" s="377"/>
      <c r="F54" s="377"/>
      <c r="G54" s="377"/>
      <c r="H54" s="377"/>
      <c r="I54" s="377"/>
    </row>
    <row r="55" spans="1:9">
      <c r="A55" s="384"/>
      <c r="B55" s="384"/>
      <c r="C55" s="384"/>
      <c r="D55" s="384"/>
      <c r="E55" s="377"/>
      <c r="F55" s="377"/>
      <c r="G55" s="377"/>
      <c r="H55" s="377"/>
      <c r="I55" s="377"/>
    </row>
    <row r="56" spans="1:9">
      <c r="A56" s="384"/>
      <c r="B56" s="384"/>
      <c r="C56" s="384"/>
      <c r="D56" s="384"/>
      <c r="E56" s="377"/>
      <c r="F56" s="377"/>
      <c r="G56" s="377"/>
      <c r="H56" s="377"/>
      <c r="I56" s="377"/>
    </row>
    <row r="57" spans="1:9">
      <c r="A57" s="384"/>
      <c r="B57" s="384"/>
      <c r="C57" s="384"/>
      <c r="D57" s="384"/>
      <c r="E57" s="377"/>
      <c r="F57" s="377"/>
      <c r="G57" s="377"/>
      <c r="H57" s="377"/>
      <c r="I57" s="377"/>
    </row>
    <row r="58" spans="1:9">
      <c r="A58" s="384"/>
      <c r="B58" s="384"/>
      <c r="C58" s="384"/>
      <c r="D58" s="384"/>
      <c r="E58" s="377"/>
      <c r="F58" s="377"/>
      <c r="G58" s="377"/>
      <c r="H58" s="377"/>
      <c r="I58" s="377"/>
    </row>
    <row r="59" spans="1:9">
      <c r="A59" s="377"/>
      <c r="B59" s="377"/>
      <c r="C59" s="377"/>
      <c r="D59" s="384"/>
      <c r="E59" s="377"/>
      <c r="F59" s="377"/>
      <c r="G59" s="377"/>
      <c r="H59" s="377"/>
      <c r="I59" s="377"/>
    </row>
    <row r="60" spans="1:9">
      <c r="A60" s="377"/>
      <c r="B60" s="377"/>
      <c r="C60" s="377"/>
      <c r="D60" s="384"/>
      <c r="E60" s="377"/>
      <c r="F60" s="377"/>
      <c r="G60" s="377"/>
      <c r="H60" s="377"/>
      <c r="I60" s="377"/>
    </row>
    <row r="61" spans="1:9">
      <c r="A61" s="377"/>
      <c r="B61" s="377"/>
      <c r="C61" s="377"/>
      <c r="D61" s="384"/>
      <c r="E61" s="377"/>
      <c r="F61" s="377"/>
      <c r="G61" s="377"/>
      <c r="H61" s="377"/>
      <c r="I61" s="377"/>
    </row>
    <row r="62" spans="1:9">
      <c r="A62" s="377"/>
      <c r="B62" s="377"/>
      <c r="C62" s="377"/>
      <c r="D62" s="384"/>
      <c r="E62" s="377"/>
      <c r="F62" s="377"/>
      <c r="G62" s="377"/>
      <c r="H62" s="377"/>
      <c r="I62" s="377"/>
    </row>
    <row r="63" spans="1:9">
      <c r="A63" s="377"/>
      <c r="B63" s="377"/>
      <c r="C63" s="377"/>
      <c r="D63" s="384"/>
      <c r="E63" s="377"/>
      <c r="F63" s="377"/>
      <c r="G63" s="377"/>
      <c r="H63" s="377"/>
      <c r="I63" s="377"/>
    </row>
    <row r="64" spans="1:9">
      <c r="A64" s="377"/>
      <c r="B64" s="377"/>
      <c r="C64" s="377"/>
      <c r="D64" s="384"/>
      <c r="E64" s="377"/>
      <c r="F64" s="377"/>
      <c r="G64" s="377"/>
      <c r="H64" s="377"/>
      <c r="I64" s="377"/>
    </row>
    <row r="65" spans="1:9">
      <c r="A65" s="377"/>
      <c r="B65" s="377"/>
      <c r="C65" s="377"/>
      <c r="D65" s="384"/>
      <c r="E65" s="377"/>
      <c r="F65" s="377"/>
      <c r="G65" s="377"/>
      <c r="H65" s="377"/>
      <c r="I65" s="377"/>
    </row>
    <row r="73" spans="1:9">
      <c r="D73" s="5"/>
    </row>
    <row r="75" spans="1:9">
      <c r="D75" s="5"/>
    </row>
  </sheetData>
  <sheetProtection algorithmName="SHA-512" hashValue="PwnzOinikYU/X+VlsRTTz27WVpgsOlSnaza9TB+dwLkovbvajyug5PANYh4JGuETcz9fZO++NXE9zsc21wMGyg==" saltValue="8s4XfdadIRraoJfPtQn4iA==" spinCount="100000" sheet="1"/>
  <mergeCells count="1">
    <mergeCell ref="B13:C13"/>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BA59"/>
  <sheetViews>
    <sheetView topLeftCell="Z1" zoomScaleNormal="100" zoomScaleSheetLayoutView="70" workbookViewId="0">
      <selection activeCell="AD8" sqref="AD8"/>
    </sheetView>
  </sheetViews>
  <sheetFormatPr defaultColWidth="9.140625" defaultRowHeight="15"/>
  <cols>
    <col min="1" max="1" width="27" style="143" customWidth="1"/>
    <col min="2" max="3" width="10.7109375" style="143" customWidth="1"/>
    <col min="4" max="4" width="11.85546875" style="143" customWidth="1"/>
    <col min="5" max="48" width="10.7109375" style="143" customWidth="1"/>
    <col min="49" max="60" width="6.5703125" style="143" customWidth="1"/>
    <col min="61" max="16384" width="9.140625" style="143"/>
  </cols>
  <sheetData>
    <row r="1" spans="1:48" ht="51.4" customHeight="1">
      <c r="A1" s="129" t="s">
        <v>79</v>
      </c>
      <c r="B1" s="396" t="s">
        <v>78</v>
      </c>
      <c r="C1" s="396"/>
      <c r="D1" s="396"/>
      <c r="E1" s="398" t="s">
        <v>174</v>
      </c>
      <c r="F1" s="398"/>
      <c r="G1" s="398"/>
      <c r="H1" s="398"/>
      <c r="I1" s="397" t="s">
        <v>179</v>
      </c>
      <c r="J1" s="397"/>
      <c r="K1" s="397"/>
      <c r="L1" s="397"/>
      <c r="M1" s="399" t="s">
        <v>189</v>
      </c>
      <c r="N1" s="399"/>
      <c r="O1" s="399"/>
      <c r="P1" s="399"/>
      <c r="Q1" s="400" t="s">
        <v>177</v>
      </c>
      <c r="R1" s="400"/>
      <c r="S1" s="400"/>
      <c r="T1" s="400"/>
      <c r="U1" s="130" t="s">
        <v>62</v>
      </c>
      <c r="V1" s="130"/>
      <c r="W1" s="131"/>
      <c r="X1" s="131"/>
      <c r="Y1" s="132" t="s">
        <v>148</v>
      </c>
      <c r="Z1" s="132"/>
      <c r="AA1" s="133"/>
      <c r="AB1" s="133"/>
      <c r="AC1" s="394" t="s">
        <v>53</v>
      </c>
      <c r="AD1" s="394"/>
      <c r="AE1" s="134"/>
      <c r="AF1" s="134"/>
      <c r="AG1" s="135" t="s">
        <v>178</v>
      </c>
      <c r="AH1" s="135"/>
      <c r="AI1" s="136"/>
      <c r="AJ1" s="136"/>
      <c r="AK1" s="137" t="s">
        <v>152</v>
      </c>
      <c r="AL1" s="137"/>
      <c r="AM1" s="138"/>
      <c r="AN1" s="138"/>
      <c r="AO1" s="139" t="s">
        <v>180</v>
      </c>
      <c r="AP1" s="139"/>
      <c r="AQ1" s="140"/>
      <c r="AR1" s="140"/>
      <c r="AS1" s="141" t="s">
        <v>167</v>
      </c>
      <c r="AT1" s="141"/>
      <c r="AU1" s="142"/>
      <c r="AV1" s="142"/>
    </row>
    <row r="2" spans="1:48" ht="36">
      <c r="A2" s="144"/>
      <c r="B2" s="145" t="s">
        <v>251</v>
      </c>
      <c r="C2" s="145" t="s">
        <v>252</v>
      </c>
      <c r="D2" s="145" t="s">
        <v>49</v>
      </c>
      <c r="E2" s="146" t="s">
        <v>251</v>
      </c>
      <c r="F2" s="146" t="s">
        <v>253</v>
      </c>
      <c r="G2" s="146" t="s">
        <v>188</v>
      </c>
      <c r="H2" s="146" t="s">
        <v>195</v>
      </c>
      <c r="I2" s="147" t="s">
        <v>251</v>
      </c>
      <c r="J2" s="147" t="s">
        <v>253</v>
      </c>
      <c r="K2" s="147" t="s">
        <v>188</v>
      </c>
      <c r="L2" s="147" t="s">
        <v>195</v>
      </c>
      <c r="M2" s="148" t="s">
        <v>251</v>
      </c>
      <c r="N2" s="148" t="s">
        <v>253</v>
      </c>
      <c r="O2" s="148" t="s">
        <v>188</v>
      </c>
      <c r="P2" s="148" t="s">
        <v>195</v>
      </c>
      <c r="Q2" s="149" t="s">
        <v>254</v>
      </c>
      <c r="R2" s="149" t="s">
        <v>255</v>
      </c>
      <c r="S2" s="149" t="s">
        <v>188</v>
      </c>
      <c r="T2" s="149" t="s">
        <v>195</v>
      </c>
      <c r="U2" s="150" t="s">
        <v>254</v>
      </c>
      <c r="V2" s="150" t="s">
        <v>255</v>
      </c>
      <c r="W2" s="150" t="s">
        <v>188</v>
      </c>
      <c r="X2" s="150" t="s">
        <v>195</v>
      </c>
      <c r="Y2" s="151" t="s">
        <v>254</v>
      </c>
      <c r="Z2" s="151" t="s">
        <v>255</v>
      </c>
      <c r="AA2" s="151" t="s">
        <v>188</v>
      </c>
      <c r="AB2" s="151" t="s">
        <v>195</v>
      </c>
      <c r="AC2" s="152" t="s">
        <v>251</v>
      </c>
      <c r="AD2" s="152" t="s">
        <v>248</v>
      </c>
      <c r="AE2" s="152" t="s">
        <v>188</v>
      </c>
      <c r="AF2" s="152" t="s">
        <v>195</v>
      </c>
      <c r="AG2" s="153" t="s">
        <v>249</v>
      </c>
      <c r="AH2" s="153" t="s">
        <v>250</v>
      </c>
      <c r="AI2" s="153" t="s">
        <v>188</v>
      </c>
      <c r="AJ2" s="153" t="s">
        <v>195</v>
      </c>
      <c r="AK2" s="154" t="s">
        <v>249</v>
      </c>
      <c r="AL2" s="154" t="s">
        <v>250</v>
      </c>
      <c r="AM2" s="154" t="s">
        <v>188</v>
      </c>
      <c r="AN2" s="154" t="s">
        <v>195</v>
      </c>
      <c r="AO2" s="155" t="s">
        <v>249</v>
      </c>
      <c r="AP2" s="155" t="s">
        <v>250</v>
      </c>
      <c r="AQ2" s="155" t="s">
        <v>188</v>
      </c>
      <c r="AR2" s="155" t="s">
        <v>195</v>
      </c>
      <c r="AS2" s="156" t="s">
        <v>249</v>
      </c>
      <c r="AT2" s="156" t="s">
        <v>250</v>
      </c>
      <c r="AU2" s="156" t="s">
        <v>188</v>
      </c>
      <c r="AV2" s="156" t="s">
        <v>195</v>
      </c>
    </row>
    <row r="3" spans="1:48">
      <c r="A3" s="157" t="s">
        <v>21</v>
      </c>
      <c r="B3" s="124"/>
      <c r="C3" s="158">
        <f>D26</f>
        <v>102.55500000000001</v>
      </c>
      <c r="D3" s="158">
        <f>IF(P22&lt;100,'Emission and Conversion Factors'!C$6,'Emission and Conversion Factors'!C$8)*P22*'Emission and Conversion Factors'!F$9*Diesel_Emis_Factor</f>
        <v>58.413977065014315</v>
      </c>
      <c r="E3" s="159"/>
      <c r="F3" s="159"/>
      <c r="G3" s="159"/>
      <c r="H3" s="160"/>
      <c r="I3" s="161"/>
      <c r="J3" s="161"/>
      <c r="K3" s="161"/>
      <c r="L3" s="161"/>
      <c r="M3" s="162"/>
      <c r="N3" s="162"/>
      <c r="O3" s="162"/>
      <c r="P3" s="162"/>
      <c r="Q3" s="163"/>
      <c r="R3" s="163"/>
      <c r="S3" s="163"/>
      <c r="T3" s="163"/>
      <c r="U3" s="164"/>
      <c r="V3" s="164"/>
      <c r="W3" s="164"/>
      <c r="X3" s="164"/>
      <c r="Y3" s="165"/>
      <c r="Z3" s="165"/>
      <c r="AA3" s="165"/>
      <c r="AB3" s="165"/>
      <c r="AC3" s="166"/>
      <c r="AD3" s="166"/>
      <c r="AE3" s="166"/>
      <c r="AF3" s="167"/>
      <c r="AG3" s="168"/>
      <c r="AH3" s="168"/>
      <c r="AI3" s="168"/>
      <c r="AJ3" s="168"/>
      <c r="AK3" s="169"/>
      <c r="AL3" s="169"/>
      <c r="AM3" s="169"/>
      <c r="AN3" s="169"/>
      <c r="AO3" s="170"/>
      <c r="AP3" s="170"/>
      <c r="AQ3" s="170"/>
      <c r="AR3" s="170"/>
      <c r="AS3" s="171"/>
      <c r="AT3" s="171"/>
      <c r="AU3" s="171"/>
      <c r="AV3" s="171"/>
    </row>
    <row r="4" spans="1:48">
      <c r="A4" s="157" t="s">
        <v>22</v>
      </c>
      <c r="B4" s="124"/>
      <c r="C4" s="158">
        <f>D23</f>
        <v>18.48</v>
      </c>
      <c r="D4" s="158">
        <f>IF(P23&lt;100,'Emission and Conversion Factors'!C$6,'Emission and Conversion Factors'!C$8)*P23*'Emission and Conversion Factors'!F$9*'Emission and Conversion Factors'!E$3</f>
        <v>11.701889763780038</v>
      </c>
      <c r="E4" s="125">
        <v>0</v>
      </c>
      <c r="F4" s="172">
        <v>18.48</v>
      </c>
      <c r="G4" s="159">
        <f>No_Runs*PBurst_Prod</f>
        <v>8</v>
      </c>
      <c r="H4" s="172">
        <f>Q23*IF(Q23&lt;100,FuelPerHpHR,FuelPerHpHR2)*G4*LitrePerKg_Diesel*Diesel_Emis_Factor</f>
        <v>0</v>
      </c>
      <c r="I4" s="161"/>
      <c r="J4" s="161"/>
      <c r="K4" s="161"/>
      <c r="L4" s="161"/>
      <c r="M4" s="162"/>
      <c r="N4" s="162"/>
      <c r="O4" s="162"/>
      <c r="P4" s="162"/>
      <c r="Q4" s="163"/>
      <c r="R4" s="163"/>
      <c r="S4" s="163"/>
      <c r="T4" s="163"/>
      <c r="U4" s="164"/>
      <c r="V4" s="164"/>
      <c r="W4" s="164"/>
      <c r="X4" s="173"/>
      <c r="Y4" s="165"/>
      <c r="Z4" s="165"/>
      <c r="AA4" s="165"/>
      <c r="AB4" s="174"/>
      <c r="AC4" s="166"/>
      <c r="AD4" s="166"/>
      <c r="AE4" s="166"/>
      <c r="AF4" s="167"/>
      <c r="AG4" s="168"/>
      <c r="AH4" s="168"/>
      <c r="AI4" s="168"/>
      <c r="AJ4" s="168"/>
      <c r="AK4" s="169"/>
      <c r="AL4" s="169"/>
      <c r="AM4" s="169"/>
      <c r="AN4" s="169"/>
      <c r="AO4" s="170"/>
      <c r="AP4" s="170"/>
      <c r="AQ4" s="170"/>
      <c r="AR4" s="175"/>
      <c r="AS4" s="171"/>
      <c r="AT4" s="171"/>
      <c r="AU4" s="171"/>
      <c r="AV4" s="176"/>
    </row>
    <row r="5" spans="1:48">
      <c r="A5" s="157" t="s">
        <v>26</v>
      </c>
      <c r="B5" s="124"/>
      <c r="C5" s="158">
        <f>D27</f>
        <v>50.268000000000001</v>
      </c>
      <c r="D5" s="158">
        <f>IF(P24&lt;100,'Emission and Conversion Factors'!C$6,'Emission and Conversion Factors'!C$8)*P24*'Emission and Conversion Factors'!F$9*'Emission and Conversion Factors'!E$3</f>
        <v>31.830659883425056</v>
      </c>
      <c r="E5" s="159"/>
      <c r="F5" s="159"/>
      <c r="G5" s="159"/>
      <c r="H5" s="172"/>
      <c r="I5" s="161"/>
      <c r="J5" s="161"/>
      <c r="K5" s="161"/>
      <c r="L5" s="161"/>
      <c r="M5" s="162"/>
      <c r="N5" s="162"/>
      <c r="O5" s="162"/>
      <c r="P5" s="162"/>
      <c r="Q5" s="163"/>
      <c r="R5" s="163"/>
      <c r="S5" s="163"/>
      <c r="T5" s="163"/>
      <c r="U5" s="164"/>
      <c r="V5" s="164"/>
      <c r="W5" s="164"/>
      <c r="X5" s="173"/>
      <c r="Y5" s="165"/>
      <c r="Z5" s="165"/>
      <c r="AA5" s="165"/>
      <c r="AB5" s="174"/>
      <c r="AC5" s="166"/>
      <c r="AD5" s="166"/>
      <c r="AE5" s="166"/>
      <c r="AF5" s="167"/>
      <c r="AG5" s="168"/>
      <c r="AH5" s="168"/>
      <c r="AI5" s="168"/>
      <c r="AJ5" s="168"/>
      <c r="AK5" s="169"/>
      <c r="AL5" s="169"/>
      <c r="AM5" s="169"/>
      <c r="AN5" s="169"/>
      <c r="AO5" s="170"/>
      <c r="AP5" s="170"/>
      <c r="AQ5" s="170"/>
      <c r="AR5" s="175"/>
      <c r="AS5" s="171"/>
      <c r="AT5" s="171"/>
      <c r="AU5" s="171"/>
      <c r="AV5" s="176"/>
    </row>
    <row r="6" spans="1:48">
      <c r="A6" s="157" t="s">
        <v>59</v>
      </c>
      <c r="B6" s="124"/>
      <c r="C6" s="158">
        <f>D23</f>
        <v>18.48</v>
      </c>
      <c r="D6" s="158">
        <f>IF(P25&lt;100,'Emission and Conversion Factors'!C$6,'Emission and Conversion Factors'!C$8)*P25*'Emission and Conversion Factors'!F$9*'Emission and Conversion Factors'!E$3</f>
        <v>11.701889763780038</v>
      </c>
      <c r="E6" s="159"/>
      <c r="F6" s="159"/>
      <c r="G6" s="159"/>
      <c r="H6" s="172"/>
      <c r="I6" s="161"/>
      <c r="J6" s="161"/>
      <c r="K6" s="161"/>
      <c r="L6" s="161"/>
      <c r="M6" s="162"/>
      <c r="N6" s="162"/>
      <c r="O6" s="162"/>
      <c r="P6" s="162"/>
      <c r="Q6" s="163"/>
      <c r="R6" s="163"/>
      <c r="S6" s="163"/>
      <c r="T6" s="163"/>
      <c r="U6" s="164"/>
      <c r="V6" s="164"/>
      <c r="W6" s="164"/>
      <c r="X6" s="173"/>
      <c r="Y6" s="165"/>
      <c r="Z6" s="165"/>
      <c r="AA6" s="165"/>
      <c r="AB6" s="174"/>
      <c r="AC6" s="166"/>
      <c r="AD6" s="166"/>
      <c r="AE6" s="166"/>
      <c r="AF6" s="167"/>
      <c r="AG6" s="168"/>
      <c r="AH6" s="168"/>
      <c r="AI6" s="168"/>
      <c r="AJ6" s="168"/>
      <c r="AK6" s="169"/>
      <c r="AL6" s="169"/>
      <c r="AM6" s="169"/>
      <c r="AN6" s="169"/>
      <c r="AO6" s="170"/>
      <c r="AP6" s="170"/>
      <c r="AQ6" s="170"/>
      <c r="AR6" s="175"/>
      <c r="AS6" s="171"/>
      <c r="AT6" s="171"/>
      <c r="AU6" s="171"/>
      <c r="AV6" s="176"/>
    </row>
    <row r="7" spans="1:48">
      <c r="A7" s="157" t="s">
        <v>25</v>
      </c>
      <c r="B7" s="124"/>
      <c r="C7" s="158">
        <f>D38</f>
        <v>12.9</v>
      </c>
      <c r="D7" s="158">
        <f>IF(P26&lt;100,'Emission and Conversion Factors'!C$6,'Emission and Conversion Factors'!C$8)*P26*'Emission and Conversion Factors'!F$9*'Emission and Conversion Factors'!E$3</f>
        <v>8.168526945495806</v>
      </c>
      <c r="E7" s="159"/>
      <c r="F7" s="159"/>
      <c r="G7" s="159"/>
      <c r="H7" s="172"/>
      <c r="I7" s="161"/>
      <c r="J7" s="161"/>
      <c r="K7" s="161"/>
      <c r="L7" s="161"/>
      <c r="M7" s="125"/>
      <c r="N7" s="177">
        <f>D38</f>
        <v>12.9</v>
      </c>
      <c r="O7" s="162">
        <f>No_Runs*CIPP_Produc</f>
        <v>12</v>
      </c>
      <c r="P7" s="177">
        <f>S26*IF(S26&lt;100,FuelPerHpHR,FuelPerHpHR2)*O7*LitrePerKg_Diesel*Diesel_Emis_Factor</f>
        <v>98.022323345949673</v>
      </c>
      <c r="Q7" s="163"/>
      <c r="R7" s="163"/>
      <c r="S7" s="163"/>
      <c r="T7" s="163"/>
      <c r="U7" s="164"/>
      <c r="V7" s="164"/>
      <c r="W7" s="164"/>
      <c r="X7" s="173"/>
      <c r="Y7" s="165"/>
      <c r="Z7" s="165"/>
      <c r="AA7" s="165"/>
      <c r="AB7" s="174"/>
      <c r="AC7" s="166"/>
      <c r="AD7" s="166"/>
      <c r="AE7" s="166"/>
      <c r="AF7" s="167"/>
      <c r="AG7" s="168"/>
      <c r="AH7" s="168"/>
      <c r="AI7" s="168"/>
      <c r="AJ7" s="168"/>
      <c r="AK7" s="169"/>
      <c r="AL7" s="169"/>
      <c r="AM7" s="169"/>
      <c r="AN7" s="169"/>
      <c r="AO7" s="170"/>
      <c r="AP7" s="170"/>
      <c r="AQ7" s="170"/>
      <c r="AR7" s="175"/>
      <c r="AS7" s="171"/>
      <c r="AT7" s="171"/>
      <c r="AU7" s="171"/>
      <c r="AV7" s="176"/>
    </row>
    <row r="8" spans="1:48">
      <c r="A8" s="157" t="s">
        <v>23</v>
      </c>
      <c r="B8" s="178"/>
      <c r="C8" s="179"/>
      <c r="D8" s="158"/>
      <c r="E8" s="126" t="s">
        <v>258</v>
      </c>
      <c r="F8" s="172">
        <f>D41</f>
        <v>21.335661445456893</v>
      </c>
      <c r="G8" s="172">
        <f>No_Runs*PBurst_Prod</f>
        <v>8</v>
      </c>
      <c r="H8" s="172">
        <f>Q27*IF(Q27&lt;100,FuelPerHpHR,FuelPerHpHR2)*G8*LitrePerKg_Diesel*Diesel_Emis_Factor</f>
        <v>0</v>
      </c>
      <c r="I8" s="125"/>
      <c r="J8" s="180">
        <f>D41</f>
        <v>21.335661445456893</v>
      </c>
      <c r="K8" s="180">
        <f>Pipe_Length/Auger_Prod</f>
        <v>87.489063867016625</v>
      </c>
      <c r="L8" s="180">
        <f>R27*IF(R27&lt;=100,FuelPerHpHR,FuelPerHpHR2)*K8*LitrePerKg_Diesel*Diesel_Emis_Factor</f>
        <v>1181.9903112114225</v>
      </c>
      <c r="M8" s="162"/>
      <c r="N8" s="162"/>
      <c r="O8" s="162"/>
      <c r="P8" s="177"/>
      <c r="Q8" s="163"/>
      <c r="R8" s="163"/>
      <c r="S8" s="163"/>
      <c r="T8" s="163"/>
      <c r="U8" s="164"/>
      <c r="V8" s="164"/>
      <c r="W8" s="164"/>
      <c r="X8" s="173"/>
      <c r="Y8" s="165"/>
      <c r="Z8" s="165"/>
      <c r="AA8" s="165"/>
      <c r="AB8" s="174"/>
      <c r="AC8" s="128"/>
      <c r="AD8" s="181">
        <f>D41</f>
        <v>21.335661445456893</v>
      </c>
      <c r="AE8" s="167">
        <f>Pipe_Length/ImpactM_Prod</f>
        <v>20</v>
      </c>
      <c r="AF8" s="181">
        <f>W27*IF(W27&lt;100,FuelPerHpHR,FuelPerHpHR2)*AE8*LitrePerKg_Diesel*Diesel_Emis_Factor</f>
        <v>270.2029851429312</v>
      </c>
      <c r="AG8" s="168"/>
      <c r="AH8" s="168"/>
      <c r="AI8" s="168"/>
      <c r="AJ8" s="168"/>
      <c r="AK8" s="169"/>
      <c r="AL8" s="169"/>
      <c r="AM8" s="169"/>
      <c r="AN8" s="169"/>
      <c r="AO8" s="170"/>
      <c r="AP8" s="170"/>
      <c r="AQ8" s="170"/>
      <c r="AR8" s="175"/>
      <c r="AS8" s="171"/>
      <c r="AT8" s="171"/>
      <c r="AU8" s="171"/>
      <c r="AV8" s="176"/>
    </row>
    <row r="9" spans="1:48" ht="15.4" customHeight="1">
      <c r="A9" s="157" t="s">
        <v>266</v>
      </c>
      <c r="B9" s="178"/>
      <c r="C9" s="179"/>
      <c r="D9" s="158"/>
      <c r="E9" s="127"/>
      <c r="F9" s="172">
        <f>D43</f>
        <v>28.000000000000004</v>
      </c>
      <c r="G9" s="172">
        <f>No_Runs*PBurst_Prod</f>
        <v>8</v>
      </c>
      <c r="H9" s="172">
        <f>Q28*IF(Q28&lt;100,FuelPerHpHR,FuelPerHpHR2)*G9*LitrePerKg_Diesel*Diesel_Emis_Factor</f>
        <v>141.84108804581868</v>
      </c>
      <c r="I9" s="125"/>
      <c r="J9" s="180">
        <f>D34</f>
        <v>150.5</v>
      </c>
      <c r="K9" s="180">
        <f>Pipe_Length/Auger_Prod</f>
        <v>87.489063867016625</v>
      </c>
      <c r="L9" s="180">
        <f>R28*IF(R28&lt;=100,FuelPerHpHR,FuelPerHpHR2)*K9*LitrePerKg_Diesel*Diesel_Emis_Factor</f>
        <v>7499.8090547531174</v>
      </c>
      <c r="M9" s="125"/>
      <c r="N9" s="177">
        <f>D33</f>
        <v>24.94</v>
      </c>
      <c r="O9" s="162">
        <f>No_Runs*CIPP_Produc</f>
        <v>12</v>
      </c>
      <c r="P9" s="177">
        <f>S28*IF(S28&lt;100,FuelPerHpHR,FuelPerHpHR2)*O9*LitrePerKg_Diesel*Diesel_Emis_Factor</f>
        <v>189.50982513550269</v>
      </c>
      <c r="Q9" s="163"/>
      <c r="R9" s="163"/>
      <c r="S9" s="163"/>
      <c r="T9" s="163"/>
      <c r="U9" s="125"/>
      <c r="V9" s="182">
        <f>D33</f>
        <v>24.94</v>
      </c>
      <c r="W9" s="182">
        <f>Pipe_Length/SlipLin_Prod</f>
        <v>26.246719160104988</v>
      </c>
      <c r="X9" s="182">
        <f>U28*IF(U28&lt;100,'Emission and Conversion Factors'!C$6,'Emission and Conversion Factors'!C$8)*W9*'Emission and Conversion Factors'!F$9*'Emission and Conversion Factors'!E$3</f>
        <v>414.50092986767874</v>
      </c>
      <c r="Y9" s="125"/>
      <c r="Z9" s="183">
        <f>D33</f>
        <v>24.94</v>
      </c>
      <c r="AA9" s="174">
        <f>Pipe_Length/Jacking_Prod</f>
        <v>71.111111111111114</v>
      </c>
      <c r="AB9" s="183">
        <f>V28*IF(V28&lt;100,'Emission and Conversion Factors'!C$6,'Emission and Conversion Factors'!C$8)*AA9*'Emission and Conversion Factors'!F$9*'Emission and Conversion Factors'!E$3</f>
        <v>1123.0211859881642</v>
      </c>
      <c r="AC9" s="125"/>
      <c r="AD9" s="181">
        <f>D34</f>
        <v>150.5</v>
      </c>
      <c r="AE9" s="167">
        <f>Pipe_Length/ImpactM_Prod</f>
        <v>20</v>
      </c>
      <c r="AF9" s="181">
        <f>W28*IF(W28&lt;100,FuelPerHpHR,FuelPerHpHR2)*AE9*LitrePerKg_Diesel*Diesel_Emis_Factor</f>
        <v>1714.4563499165624</v>
      </c>
      <c r="AG9" s="168"/>
      <c r="AH9" s="168"/>
      <c r="AI9" s="168"/>
      <c r="AJ9" s="168"/>
      <c r="AK9" s="169"/>
      <c r="AL9" s="169"/>
      <c r="AM9" s="169"/>
      <c r="AN9" s="169"/>
      <c r="AO9" s="128"/>
      <c r="AP9" s="184">
        <f>D34</f>
        <v>150.5</v>
      </c>
      <c r="AQ9" s="175">
        <f>Pipe_Length/Ram_Prod</f>
        <v>21.872265966754156</v>
      </c>
      <c r="AR9" s="184">
        <f>Z28*IF(Z28&lt;100,FuelPerHpHR,FuelPerHpHR2)*AQ9*LitrePerKg_Diesel*Diesel_Emis_Factor</f>
        <v>1874.9522636882793</v>
      </c>
      <c r="AS9" s="128"/>
      <c r="AT9" s="185">
        <f>D34</f>
        <v>150.5</v>
      </c>
      <c r="AU9" s="176">
        <f>Pipe_Length/BoxJack_Prod</f>
        <v>190.88523025530901</v>
      </c>
      <c r="AV9" s="185">
        <f>AA28*IF(AA28&lt;100,FuelPerHpHR,FuelPerHpHR2)*AU9*LitrePerKg_Diesel*Diesel_Emis_Factor</f>
        <v>16363.219755824985</v>
      </c>
    </row>
    <row r="10" spans="1:48">
      <c r="A10" s="157" t="s">
        <v>28</v>
      </c>
      <c r="B10" s="178"/>
      <c r="C10" s="179"/>
      <c r="D10" s="158"/>
      <c r="E10" s="125">
        <v>0</v>
      </c>
      <c r="F10" s="159">
        <v>10</v>
      </c>
      <c r="G10" s="172">
        <f>No_Runs*PBurst_Prod</f>
        <v>8</v>
      </c>
      <c r="H10" s="172">
        <f>Q29*IF(Q29&lt;100,FuelPerHpHR,FuelPerHpHR2)*G10*LitrePerKg_Diesel*Diesel_Emis_Factor</f>
        <v>0</v>
      </c>
      <c r="I10" s="125"/>
      <c r="J10" s="161">
        <v>10</v>
      </c>
      <c r="K10" s="180">
        <f>Pipe_Length/Auger_Prod</f>
        <v>87.489063867016625</v>
      </c>
      <c r="L10" s="180">
        <f>R29*IF(R29&lt;=100,FuelPerHpHR,FuelPerHpHR2)*K10*LitrePerKg_Diesel*Diesel_Emis_Factor</f>
        <v>553.99750049141767</v>
      </c>
      <c r="M10" s="162"/>
      <c r="N10" s="162"/>
      <c r="O10" s="162"/>
      <c r="P10" s="177"/>
      <c r="Q10" s="163"/>
      <c r="R10" s="163"/>
      <c r="S10" s="163"/>
      <c r="T10" s="163"/>
      <c r="U10" s="125"/>
      <c r="V10" s="164">
        <v>200</v>
      </c>
      <c r="W10" s="182">
        <f>Pipe_Length/SlipLin_Prod</f>
        <v>26.246719160104988</v>
      </c>
      <c r="X10" s="182">
        <f>U29*IF(U29&lt;100,'Emission and Conversion Factors'!C$6,'Emission and Conversion Factors'!C$8)*W10*'Emission and Conversion Factors'!F$9*'Emission and Conversion Factors'!E$3</f>
        <v>2989.9570982404452</v>
      </c>
      <c r="Y10" s="125"/>
      <c r="Z10" s="165">
        <v>200</v>
      </c>
      <c r="AA10" s="174">
        <f>Pipe_Length/Jacking_Prod</f>
        <v>71.111111111111114</v>
      </c>
      <c r="AB10" s="183">
        <f>V29*IF(V29&lt;100,'Emission and Conversion Factors'!C$6,'Emission and Conversion Factors'!C$8)*AA10*'Emission and Conversion Factors'!F$9*'Emission and Conversion Factors'!E$3</f>
        <v>8100.7904314994475</v>
      </c>
      <c r="AC10" s="125"/>
      <c r="AD10" s="166">
        <v>10</v>
      </c>
      <c r="AE10" s="167">
        <f>Pipe_Length/ImpactM_Prod</f>
        <v>20</v>
      </c>
      <c r="AF10" s="181">
        <f>W29*IF(W29&lt;100,FuelPerHpHR,FuelPerHpHR2)*AE10*LitrePerKg_Diesel*Diesel_Emis_Factor</f>
        <v>126.64382861233808</v>
      </c>
      <c r="AG10" s="168"/>
      <c r="AH10" s="168"/>
      <c r="AI10" s="168"/>
      <c r="AJ10" s="168"/>
      <c r="AK10" s="169"/>
      <c r="AL10" s="169"/>
      <c r="AM10" s="169"/>
      <c r="AN10" s="169"/>
      <c r="AO10" s="128"/>
      <c r="AP10" s="184">
        <v>200</v>
      </c>
      <c r="AQ10" s="175">
        <f>Pipe_Length/Ram_Prod</f>
        <v>21.872265966754156</v>
      </c>
      <c r="AR10" s="184">
        <f>Z29*IF(Z29&lt;100,FuelPerHpHR,FuelPerHpHR2)*AQ10*LitrePerKg_Diesel*Diesel_Emis_Factor</f>
        <v>2491.6309152003714</v>
      </c>
      <c r="AS10" s="128"/>
      <c r="AT10" s="171">
        <v>200</v>
      </c>
      <c r="AU10" s="176">
        <f>Pipe_Length/BoxJack_Prod</f>
        <v>190.88523025530901</v>
      </c>
      <c r="AV10" s="185">
        <f>AA29*IF(AA29&lt;100,FuelPerHpHR,FuelPerHpHR2)*AU10*LitrePerKg_Diesel*Diesel_Emis_Factor</f>
        <v>21745.142532657788</v>
      </c>
    </row>
    <row r="11" spans="1:48">
      <c r="A11" s="157" t="s">
        <v>29</v>
      </c>
      <c r="B11" s="124"/>
      <c r="C11" s="179">
        <v>100</v>
      </c>
      <c r="D11" s="158">
        <f>IF(P30&lt;100,'Emission and Conversion Factors'!C$6,'Emission and Conversion Factors'!C$8)*P30*'Emission and Conversion Factors'!F$9*'Emission and Conversion Factors'!E$3</f>
        <v>56.958682721480486</v>
      </c>
      <c r="E11" s="159"/>
      <c r="F11" s="159"/>
      <c r="G11" s="160"/>
      <c r="H11" s="159"/>
      <c r="I11" s="161"/>
      <c r="J11" s="161"/>
      <c r="K11" s="161"/>
      <c r="L11" s="161"/>
      <c r="M11" s="125"/>
      <c r="N11" s="162">
        <v>100</v>
      </c>
      <c r="O11" s="162">
        <f>No_Runs*CIPP_Produc</f>
        <v>12</v>
      </c>
      <c r="P11" s="177">
        <f>S30*IF(S30&lt;100,FuelPerHpHR,FuelPerHpHR2)*O11*LitrePerKg_Diesel*Diesel_Emis_Factor</f>
        <v>683.50419265776588</v>
      </c>
      <c r="Q11" s="163"/>
      <c r="R11" s="163"/>
      <c r="S11" s="163"/>
      <c r="T11" s="163"/>
      <c r="U11" s="125"/>
      <c r="V11" s="164">
        <v>10</v>
      </c>
      <c r="W11" s="182">
        <f>Pipe_Length/SlipLin_Prod</f>
        <v>26.246719160104988</v>
      </c>
      <c r="X11" s="182">
        <f>U30*IF(U30&lt;100,'Emission and Conversion Factors'!C$6,'Emission and Conversion Factors'!C$8)*W11*'Emission and Conversion Factors'!F$9*'Emission and Conversion Factors'!E$3</f>
        <v>166.19925014742532</v>
      </c>
      <c r="Y11" s="125"/>
      <c r="Z11" s="165">
        <v>10</v>
      </c>
      <c r="AA11" s="174">
        <f>Pipe_Length/Jacking_Prod</f>
        <v>71.111111111111114</v>
      </c>
      <c r="AB11" s="183">
        <f>V30*IF(V30&lt;100,'Emission and Conversion Factors'!C$6,'Emission and Conversion Factors'!C$8)*AA11*'Emission and Conversion Factors'!F$9*'Emission and Conversion Factors'!E$3</f>
        <v>450.28916839942434</v>
      </c>
      <c r="AC11" s="166"/>
      <c r="AD11" s="166"/>
      <c r="AE11" s="167"/>
      <c r="AF11" s="166"/>
      <c r="AG11" s="168"/>
      <c r="AH11" s="168"/>
      <c r="AI11" s="168"/>
      <c r="AJ11" s="168"/>
      <c r="AK11" s="169"/>
      <c r="AL11" s="169"/>
      <c r="AM11" s="169"/>
      <c r="AN11" s="169"/>
      <c r="AO11" s="128"/>
      <c r="AP11" s="170">
        <v>10</v>
      </c>
      <c r="AQ11" s="175">
        <f>Pipe_Length/Ram_Prod</f>
        <v>21.872265966754156</v>
      </c>
      <c r="AR11" s="184">
        <f>Z30*IF(Z30&lt;100,FuelPerHpHR,FuelPerHpHR2)*AQ11*LitrePerKg_Diesel*Diesel_Emis_Factor</f>
        <v>138.49937512285442</v>
      </c>
      <c r="AS11" s="128"/>
      <c r="AT11" s="171">
        <v>10</v>
      </c>
      <c r="AU11" s="176">
        <f>Pipe_Length/BoxJack_Prod</f>
        <v>190.88523025530901</v>
      </c>
      <c r="AV11" s="185">
        <f>AA30*IF(AA30&lt;100,FuelPerHpHR,FuelPerHpHR2)*AU11*LitrePerKg_Diesel*Diesel_Emis_Factor</f>
        <v>1208.7218192540024</v>
      </c>
    </row>
    <row r="12" spans="1:48">
      <c r="A12" s="157" t="s">
        <v>134</v>
      </c>
      <c r="B12" s="178"/>
      <c r="C12" s="179"/>
      <c r="D12" s="158"/>
      <c r="E12" s="159"/>
      <c r="F12" s="159"/>
      <c r="G12" s="160"/>
      <c r="H12" s="159"/>
      <c r="I12" s="161"/>
      <c r="J12" s="161"/>
      <c r="K12" s="161"/>
      <c r="L12" s="161"/>
      <c r="M12" s="162"/>
      <c r="N12" s="162"/>
      <c r="O12" s="162"/>
      <c r="P12" s="177"/>
      <c r="Q12" s="128"/>
      <c r="R12" s="186">
        <f>CONVERT('Inputs '!J7,"m","in")*15</f>
        <v>221.45669291338584</v>
      </c>
      <c r="S12" s="187">
        <f>Pipe_Length/Productivity!L4</f>
        <v>24.615384615384617</v>
      </c>
      <c r="T12" s="187">
        <f>T31*IF(T31&lt;=100,'Emission and Conversion Factors'!C$6,'Emission and Conversion Factors'!C$8)*S12*'Emission and Conversion Factors'!F$9*'Emission and Conversion Factors'!E$3</f>
        <v>3104.9554481727705</v>
      </c>
      <c r="U12" s="173"/>
      <c r="V12" s="173"/>
      <c r="W12" s="182"/>
      <c r="X12" s="182"/>
      <c r="Y12" s="174"/>
      <c r="Z12" s="174"/>
      <c r="AA12" s="183"/>
      <c r="AB12" s="183"/>
      <c r="AC12" s="166"/>
      <c r="AD12" s="166"/>
      <c r="AE12" s="167"/>
      <c r="AF12" s="166"/>
      <c r="AG12" s="128"/>
      <c r="AH12" s="188">
        <f>CONVERT('Inputs '!J7,"m","in")*15</f>
        <v>221.45669291338584</v>
      </c>
      <c r="AI12" s="189">
        <f>Pipe_Length/SwageLin_Prod</f>
        <v>5.2493438320209975</v>
      </c>
      <c r="AJ12" s="189">
        <f>X31*IF(X31&lt;100,FuelPerHpHR,FuelPerHpHR2)*AI12*LitrePerKg_Diesel*Diesel_Emis_Factor</f>
        <v>662.14601092923249</v>
      </c>
      <c r="AK12" s="128"/>
      <c r="AL12" s="190">
        <f>CONVERT(Pipe_Diameter_m,"m","in")*15</f>
        <v>221.45669291338584</v>
      </c>
      <c r="AM12" s="191">
        <f>Pipe_Length/Micro_Prod</f>
        <v>95.442615127654506</v>
      </c>
      <c r="AN12" s="191">
        <f>Y31*IF(Y31&lt;100,FuelPerHpHR,FuelPerHpHR2)*AM12*LitrePerKg_Diesel*Diesel_Emis_Factor</f>
        <v>12039.018380531501</v>
      </c>
      <c r="AO12" s="175"/>
      <c r="AP12" s="175"/>
      <c r="AQ12" s="184"/>
      <c r="AR12" s="184"/>
      <c r="AS12" s="176"/>
      <c r="AT12" s="176"/>
      <c r="AU12" s="185"/>
      <c r="AV12" s="185"/>
    </row>
    <row r="13" spans="1:48">
      <c r="A13" s="157" t="s">
        <v>256</v>
      </c>
      <c r="B13" s="178"/>
      <c r="C13" s="179"/>
      <c r="D13" s="158"/>
      <c r="E13" s="159"/>
      <c r="F13" s="159"/>
      <c r="G13" s="159"/>
      <c r="H13" s="159"/>
      <c r="I13" s="161"/>
      <c r="J13" s="161"/>
      <c r="K13" s="161"/>
      <c r="L13" s="161"/>
      <c r="M13" s="125"/>
      <c r="N13" s="162">
        <v>150</v>
      </c>
      <c r="O13" s="162">
        <f>(No_Lateral_Connections+No_Lateral_Connections_Far_Side)*(8/20)</f>
        <v>2.4000000000000004</v>
      </c>
      <c r="P13" s="177">
        <f>S32*IF(S32&lt;100,FuelPerHpHR,FuelPerHpHR2)*O13*LitrePerKg_Diesel*Diesel_Emis_Factor</f>
        <v>205.05125779732978</v>
      </c>
      <c r="Q13" s="163"/>
      <c r="R13" s="163"/>
      <c r="S13" s="163"/>
      <c r="T13" s="163"/>
      <c r="U13" s="164"/>
      <c r="V13" s="164"/>
      <c r="W13" s="164"/>
      <c r="X13" s="164"/>
      <c r="Y13" s="165"/>
      <c r="Z13" s="165"/>
      <c r="AA13" s="165"/>
      <c r="AB13" s="165"/>
      <c r="AC13" s="166"/>
      <c r="AD13" s="166"/>
      <c r="AE13" s="166"/>
      <c r="AF13" s="166"/>
      <c r="AG13" s="168"/>
      <c r="AH13" s="168"/>
      <c r="AI13" s="168"/>
      <c r="AJ13" s="168"/>
      <c r="AK13" s="169"/>
      <c r="AL13" s="169"/>
      <c r="AM13" s="169"/>
      <c r="AN13" s="169"/>
      <c r="AO13" s="170"/>
      <c r="AP13" s="170"/>
      <c r="AQ13" s="170"/>
      <c r="AR13" s="170"/>
      <c r="AS13" s="171"/>
      <c r="AT13" s="171"/>
      <c r="AU13" s="171"/>
      <c r="AV13" s="171"/>
    </row>
    <row r="14" spans="1:48">
      <c r="A14" s="157" t="s">
        <v>257</v>
      </c>
      <c r="B14" s="178"/>
      <c r="C14" s="179"/>
      <c r="D14" s="158"/>
      <c r="E14" s="159"/>
      <c r="F14" s="159"/>
      <c r="G14" s="159"/>
      <c r="H14" s="159"/>
      <c r="I14" s="161"/>
      <c r="J14" s="161"/>
      <c r="K14" s="161"/>
      <c r="L14" s="161"/>
      <c r="M14" s="125"/>
      <c r="N14" s="162">
        <v>250</v>
      </c>
      <c r="O14" s="162">
        <f>Pipe_Length/100*0.5</f>
        <v>1</v>
      </c>
      <c r="P14" s="177">
        <f>S33*IF(S33&lt;100,FuelPerHpHR,FuelPerHpHR2)*O14*LitrePerKg_Diesel*Diesel_Emis_Factor</f>
        <v>142.39670680370122</v>
      </c>
      <c r="Q14" s="163"/>
      <c r="R14" s="163"/>
      <c r="S14" s="163"/>
      <c r="T14" s="163"/>
      <c r="U14" s="164"/>
      <c r="V14" s="164"/>
      <c r="W14" s="164"/>
      <c r="X14" s="164"/>
      <c r="Y14" s="165"/>
      <c r="Z14" s="165"/>
      <c r="AA14" s="165"/>
      <c r="AB14" s="165"/>
      <c r="AC14" s="166"/>
      <c r="AD14" s="166"/>
      <c r="AE14" s="166"/>
      <c r="AF14" s="166"/>
      <c r="AG14" s="168"/>
      <c r="AH14" s="168"/>
      <c r="AI14" s="168"/>
      <c r="AJ14" s="168"/>
      <c r="AK14" s="169"/>
      <c r="AL14" s="169"/>
      <c r="AM14" s="169"/>
      <c r="AN14" s="169"/>
      <c r="AO14" s="170"/>
      <c r="AP14" s="170"/>
      <c r="AQ14" s="170"/>
      <c r="AR14" s="170"/>
      <c r="AS14" s="171"/>
      <c r="AT14" s="171"/>
      <c r="AU14" s="171"/>
      <c r="AV14" s="171"/>
    </row>
    <row r="15" spans="1:48">
      <c r="A15" s="157" t="s">
        <v>135</v>
      </c>
      <c r="B15" s="178"/>
      <c r="C15" s="179"/>
      <c r="D15" s="158"/>
      <c r="E15" s="159"/>
      <c r="F15" s="159"/>
      <c r="G15" s="159"/>
      <c r="H15" s="159"/>
      <c r="I15" s="161"/>
      <c r="J15" s="161"/>
      <c r="K15" s="161"/>
      <c r="L15" s="161"/>
      <c r="M15" s="125"/>
      <c r="N15" s="162"/>
      <c r="O15" s="162"/>
      <c r="P15" s="177"/>
      <c r="Q15" s="163"/>
      <c r="R15" s="163"/>
      <c r="S15" s="163"/>
      <c r="T15" s="163"/>
      <c r="U15" s="164"/>
      <c r="V15" s="164"/>
      <c r="W15" s="164"/>
      <c r="X15" s="164"/>
      <c r="Y15" s="165"/>
      <c r="Z15" s="165"/>
      <c r="AA15" s="165"/>
      <c r="AB15" s="165"/>
      <c r="AC15" s="166"/>
      <c r="AD15" s="166"/>
      <c r="AE15" s="166"/>
      <c r="AF15" s="166"/>
      <c r="AG15" s="168"/>
      <c r="AH15" s="168"/>
      <c r="AI15" s="168"/>
      <c r="AJ15" s="168"/>
      <c r="AK15" s="169"/>
      <c r="AL15" s="169"/>
      <c r="AM15" s="169"/>
      <c r="AN15" s="169"/>
      <c r="AO15" s="170"/>
      <c r="AP15" s="170"/>
      <c r="AQ15" s="170"/>
      <c r="AR15" s="170"/>
      <c r="AS15" s="171"/>
      <c r="AT15" s="171"/>
      <c r="AU15" s="171"/>
      <c r="AV15" s="171"/>
    </row>
    <row r="16" spans="1:48">
      <c r="A16" s="157" t="s">
        <v>136</v>
      </c>
      <c r="B16" s="178"/>
      <c r="C16" s="179"/>
      <c r="D16" s="158"/>
      <c r="E16" s="159"/>
      <c r="F16" s="159"/>
      <c r="G16" s="159"/>
      <c r="H16" s="159"/>
      <c r="I16" s="161"/>
      <c r="J16" s="161"/>
      <c r="K16" s="161"/>
      <c r="L16" s="161"/>
      <c r="M16" s="125"/>
      <c r="N16" s="162"/>
      <c r="O16" s="162"/>
      <c r="P16" s="177"/>
      <c r="Q16" s="163"/>
      <c r="R16" s="163"/>
      <c r="S16" s="163"/>
      <c r="T16" s="163"/>
      <c r="U16" s="164"/>
      <c r="V16" s="164"/>
      <c r="W16" s="164"/>
      <c r="X16" s="164"/>
      <c r="Y16" s="165"/>
      <c r="Z16" s="165"/>
      <c r="AA16" s="165"/>
      <c r="AB16" s="165"/>
      <c r="AC16" s="166"/>
      <c r="AD16" s="166"/>
      <c r="AE16" s="166"/>
      <c r="AF16" s="166"/>
      <c r="AG16" s="168"/>
      <c r="AH16" s="168"/>
      <c r="AI16" s="168"/>
      <c r="AJ16" s="168"/>
      <c r="AK16" s="169"/>
      <c r="AL16" s="169"/>
      <c r="AM16" s="169"/>
      <c r="AN16" s="169"/>
      <c r="AO16" s="170"/>
      <c r="AP16" s="170"/>
      <c r="AQ16" s="170"/>
      <c r="AR16" s="170"/>
      <c r="AS16" s="171"/>
      <c r="AT16" s="171"/>
      <c r="AU16" s="171"/>
      <c r="AV16" s="171"/>
    </row>
    <row r="17" spans="1:53">
      <c r="A17" s="157" t="s">
        <v>111</v>
      </c>
      <c r="B17" s="124"/>
      <c r="C17" s="179">
        <v>150</v>
      </c>
      <c r="D17" s="158">
        <f>IF(P34&lt;100,'Emission and Conversion Factors'!C$6,'Emission and Conversion Factors'!C$8)*P34*'Emission and Conversion Factors'!F$9*'Emission and Conversion Factors'!E$3</f>
        <v>85.438024082220736</v>
      </c>
      <c r="E17" s="159"/>
      <c r="F17" s="159"/>
      <c r="G17" s="159"/>
      <c r="H17" s="159"/>
      <c r="I17" s="161"/>
      <c r="J17" s="161"/>
      <c r="K17" s="161"/>
      <c r="L17" s="161"/>
      <c r="M17" s="162"/>
      <c r="N17" s="162"/>
      <c r="O17" s="162"/>
      <c r="P17" s="177"/>
      <c r="Q17" s="163"/>
      <c r="R17" s="163"/>
      <c r="S17" s="163"/>
      <c r="T17" s="163"/>
      <c r="U17" s="164"/>
      <c r="V17" s="164"/>
      <c r="W17" s="164"/>
      <c r="X17" s="164"/>
      <c r="Y17" s="165"/>
      <c r="Z17" s="165"/>
      <c r="AA17" s="165"/>
      <c r="AB17" s="165"/>
      <c r="AC17" s="166"/>
      <c r="AD17" s="166"/>
      <c r="AE17" s="166"/>
      <c r="AF17" s="166"/>
      <c r="AG17" s="168"/>
      <c r="AH17" s="168"/>
      <c r="AI17" s="168"/>
      <c r="AJ17" s="168"/>
      <c r="AK17" s="169"/>
      <c r="AL17" s="169"/>
      <c r="AM17" s="169"/>
      <c r="AN17" s="169"/>
      <c r="AO17" s="170"/>
      <c r="AP17" s="170"/>
      <c r="AQ17" s="170"/>
      <c r="AR17" s="170"/>
      <c r="AS17" s="171"/>
      <c r="AT17" s="171"/>
      <c r="AU17" s="171"/>
      <c r="AV17" s="171"/>
    </row>
    <row r="18" spans="1:53" ht="30">
      <c r="A18" s="192" t="s">
        <v>187</v>
      </c>
      <c r="B18" s="193"/>
      <c r="C18" s="193"/>
      <c r="D18" s="194"/>
      <c r="E18" s="194"/>
      <c r="F18" s="194"/>
      <c r="G18" s="194"/>
      <c r="H18" s="195">
        <f>SUM(H3:H17)</f>
        <v>141.84108804581868</v>
      </c>
      <c r="I18" s="194"/>
      <c r="J18" s="194"/>
      <c r="K18" s="194"/>
      <c r="L18" s="195">
        <f>SUM(L3:L17)</f>
        <v>9235.7968664559576</v>
      </c>
      <c r="M18" s="194"/>
      <c r="N18" s="194"/>
      <c r="O18" s="194"/>
      <c r="P18" s="195">
        <f>SUM(P3:P17)</f>
        <v>1318.4843057402493</v>
      </c>
      <c r="Q18" s="194"/>
      <c r="R18" s="194"/>
      <c r="S18" s="194"/>
      <c r="T18" s="195">
        <f>SUM(T3:T17)</f>
        <v>3104.9554481727705</v>
      </c>
      <c r="U18" s="196"/>
      <c r="V18" s="196"/>
      <c r="W18" s="194"/>
      <c r="X18" s="195">
        <f>SUM(X3:X17)</f>
        <v>3570.657278255549</v>
      </c>
      <c r="Y18" s="196"/>
      <c r="Z18" s="196"/>
      <c r="AA18" s="196"/>
      <c r="AB18" s="195">
        <f>SUM(AB3:AB17)</f>
        <v>9674.1007858870362</v>
      </c>
      <c r="AC18" s="196"/>
      <c r="AD18" s="196"/>
      <c r="AE18" s="196"/>
      <c r="AF18" s="195">
        <f>SUM(AF3:AF17)</f>
        <v>2111.3031636718315</v>
      </c>
      <c r="AG18" s="194"/>
      <c r="AH18" s="194"/>
      <c r="AI18" s="194"/>
      <c r="AJ18" s="195">
        <f>SUM(AJ3:AJ17)</f>
        <v>662.14601092923249</v>
      </c>
      <c r="AK18" s="194"/>
      <c r="AL18" s="194"/>
      <c r="AM18" s="194"/>
      <c r="AN18" s="195">
        <f>SUM(AN3:AN17)</f>
        <v>12039.018380531501</v>
      </c>
      <c r="AO18" s="194"/>
      <c r="AP18" s="194"/>
      <c r="AQ18" s="194"/>
      <c r="AR18" s="195">
        <f>SUM(AR3:AR17)</f>
        <v>4505.0825540115056</v>
      </c>
      <c r="AS18" s="194"/>
      <c r="AT18" s="194"/>
      <c r="AU18" s="194"/>
      <c r="AV18" s="195">
        <f>SUM(AV3:AV17)</f>
        <v>39317.084107736773</v>
      </c>
      <c r="AW18" s="197"/>
      <c r="AX18" s="197"/>
      <c r="AY18" s="197"/>
      <c r="AZ18" s="198"/>
      <c r="BA18" s="199"/>
    </row>
    <row r="19" spans="1:53">
      <c r="A19" s="395" t="s">
        <v>84</v>
      </c>
      <c r="B19" s="395"/>
      <c r="C19" s="395"/>
      <c r="D19" s="200">
        <f>SUM(D3:D14)</f>
        <v>178.77562614297574</v>
      </c>
      <c r="E19" s="201"/>
      <c r="F19" s="201"/>
      <c r="G19" s="200"/>
      <c r="H19" s="200">
        <f>D19</f>
        <v>178.77562614297574</v>
      </c>
      <c r="I19" s="201"/>
      <c r="J19" s="201"/>
      <c r="K19" s="201"/>
      <c r="L19" s="202">
        <f>D19</f>
        <v>178.77562614297574</v>
      </c>
      <c r="M19" s="203"/>
      <c r="N19" s="201"/>
      <c r="O19" s="203"/>
      <c r="P19" s="203">
        <v>0</v>
      </c>
      <c r="Q19" s="203"/>
      <c r="R19" s="203"/>
      <c r="S19" s="201"/>
      <c r="T19" s="203">
        <f>Mach_Excv_Emis_PerHr</f>
        <v>178.77562614297574</v>
      </c>
      <c r="U19" s="203"/>
      <c r="V19" s="203"/>
      <c r="W19" s="203"/>
      <c r="X19" s="203">
        <f>D19</f>
        <v>178.77562614297574</v>
      </c>
      <c r="Y19" s="203"/>
      <c r="Z19" s="203"/>
      <c r="AA19" s="203"/>
      <c r="AB19" s="203">
        <f>D19</f>
        <v>178.77562614297574</v>
      </c>
      <c r="AC19" s="203"/>
      <c r="AD19" s="203"/>
      <c r="AE19" s="203"/>
      <c r="AF19" s="203">
        <f>D19</f>
        <v>178.77562614297574</v>
      </c>
      <c r="AG19" s="201"/>
      <c r="AH19" s="201"/>
      <c r="AI19" s="200"/>
      <c r="AJ19" s="200">
        <f>AF19</f>
        <v>178.77562614297574</v>
      </c>
      <c r="AK19" s="201"/>
      <c r="AL19" s="201"/>
      <c r="AM19" s="200"/>
      <c r="AN19" s="200">
        <f>AJ19</f>
        <v>178.77562614297574</v>
      </c>
      <c r="AO19" s="201"/>
      <c r="AP19" s="201"/>
      <c r="AQ19" s="200"/>
      <c r="AR19" s="200">
        <f>AN19</f>
        <v>178.77562614297574</v>
      </c>
      <c r="AS19" s="201"/>
      <c r="AT19" s="201"/>
      <c r="AU19" s="200"/>
      <c r="AV19" s="200">
        <f>AR19</f>
        <v>178.77562614297574</v>
      </c>
      <c r="AW19" s="198"/>
      <c r="AX19" s="198"/>
      <c r="AY19" s="198"/>
      <c r="AZ19" s="198"/>
      <c r="BA19" s="198"/>
    </row>
    <row r="20" spans="1:53">
      <c r="A20" s="204" t="s">
        <v>50</v>
      </c>
      <c r="G20" s="205"/>
      <c r="H20" s="206"/>
      <c r="I20" s="107"/>
      <c r="J20" s="107"/>
      <c r="U20" s="207"/>
      <c r="AT20" s="208"/>
    </row>
    <row r="21" spans="1:53" ht="60">
      <c r="A21" s="209" t="s">
        <v>216</v>
      </c>
      <c r="B21" s="209" t="s">
        <v>201</v>
      </c>
      <c r="C21" s="209" t="s">
        <v>215</v>
      </c>
      <c r="D21" s="209" t="s">
        <v>202</v>
      </c>
      <c r="G21" s="107"/>
      <c r="H21" s="107"/>
      <c r="I21" s="107"/>
      <c r="J21" s="210"/>
      <c r="O21" s="211"/>
      <c r="P21" s="212" t="s">
        <v>27</v>
      </c>
      <c r="Q21" s="212" t="s">
        <v>77</v>
      </c>
      <c r="R21" s="212" t="s">
        <v>194</v>
      </c>
      <c r="S21" s="212" t="s">
        <v>155</v>
      </c>
      <c r="T21" s="212" t="s">
        <v>143</v>
      </c>
      <c r="U21" s="212" t="s">
        <v>156</v>
      </c>
      <c r="V21" s="212" t="s">
        <v>148</v>
      </c>
      <c r="W21" s="212" t="s">
        <v>190</v>
      </c>
      <c r="X21" s="212" t="s">
        <v>191</v>
      </c>
      <c r="Y21" s="212" t="s">
        <v>152</v>
      </c>
      <c r="Z21" s="212" t="s">
        <v>192</v>
      </c>
      <c r="AA21" s="212" t="s">
        <v>193</v>
      </c>
      <c r="AB21" s="213"/>
      <c r="AT21" s="208"/>
    </row>
    <row r="22" spans="1:53">
      <c r="A22" s="214" t="s">
        <v>203</v>
      </c>
      <c r="B22" s="215">
        <v>48.333333333333336</v>
      </c>
      <c r="C22" s="216">
        <v>0.43</v>
      </c>
      <c r="D22" s="215">
        <v>20.783333333333335</v>
      </c>
      <c r="G22" s="204"/>
      <c r="H22" s="204"/>
      <c r="I22" s="107"/>
      <c r="J22" s="210"/>
      <c r="O22" s="211"/>
      <c r="P22" s="213">
        <f>IF(B3&lt;&gt;"",B3,C3)</f>
        <v>102.55500000000001</v>
      </c>
      <c r="Q22" s="213">
        <f>IF(E3&lt;&gt;"",E3,F3)</f>
        <v>0</v>
      </c>
      <c r="R22" s="213">
        <f>IF(I3&lt;&gt;"",I3,J3)</f>
        <v>0</v>
      </c>
      <c r="S22" s="213">
        <f t="shared" ref="S22:S33" si="0">IF(M3&lt;&gt;0,M3,N3)</f>
        <v>0</v>
      </c>
      <c r="T22" s="217">
        <f t="shared" ref="T22:T33" si="1">IF(Q3&lt;&gt;0,Q3,R3)</f>
        <v>0</v>
      </c>
      <c r="U22" s="217">
        <f t="shared" ref="U22:U33" si="2">IF(U3&lt;&gt;0,U3,V3)</f>
        <v>0</v>
      </c>
      <c r="V22" s="217">
        <f t="shared" ref="V22:V33" si="3">IF(Y3&lt;&gt;0,Y3,Z3)</f>
        <v>0</v>
      </c>
      <c r="W22" s="217">
        <f t="shared" ref="W22:W33" si="4">IF(AC3&lt;&gt;0,AC3,AD3)</f>
        <v>0</v>
      </c>
      <c r="X22" s="217">
        <f t="shared" ref="X22:X33" si="5">IF(AG3&lt;&gt;0,AG3,AH3)</f>
        <v>0</v>
      </c>
      <c r="Y22" s="217">
        <f t="shared" ref="Y22:Y33" si="6">IF(AK3&lt;&gt;0,AK3,AL3)</f>
        <v>0</v>
      </c>
      <c r="Z22" s="217">
        <f t="shared" ref="Z22:Z33" si="7">IF(AO3&lt;&gt;0,AO3,AP3)</f>
        <v>0</v>
      </c>
      <c r="AA22" s="217">
        <f t="shared" ref="AA22:AA33" si="8">IF(AS3&lt;&gt;0,AS3,AT3)</f>
        <v>0</v>
      </c>
      <c r="AB22" s="213"/>
      <c r="AT22" s="208"/>
    </row>
    <row r="23" spans="1:53">
      <c r="A23" s="218" t="s">
        <v>22</v>
      </c>
      <c r="B23" s="218">
        <v>88</v>
      </c>
      <c r="C23" s="218">
        <v>0.21</v>
      </c>
      <c r="D23" s="219">
        <v>18.48</v>
      </c>
      <c r="G23" s="204"/>
      <c r="H23" s="204"/>
      <c r="I23" s="107"/>
      <c r="J23" s="210"/>
      <c r="O23" s="211"/>
      <c r="P23" s="213">
        <f t="shared" ref="P23:P31" si="9">IF(B4&lt;&gt;"",B4,C4)</f>
        <v>18.48</v>
      </c>
      <c r="Q23" s="213">
        <f>IF(E4&lt;&gt;"",E4,F4)</f>
        <v>0</v>
      </c>
      <c r="R23" s="213">
        <f t="shared" ref="R23:R31" si="10">IF(I4&lt;&gt;"",I4,J4)</f>
        <v>0</v>
      </c>
      <c r="S23" s="213">
        <f t="shared" si="0"/>
        <v>0</v>
      </c>
      <c r="T23" s="217">
        <f t="shared" si="1"/>
        <v>0</v>
      </c>
      <c r="U23" s="217">
        <f t="shared" si="2"/>
        <v>0</v>
      </c>
      <c r="V23" s="217">
        <f t="shared" si="3"/>
        <v>0</v>
      </c>
      <c r="W23" s="217">
        <f t="shared" si="4"/>
        <v>0</v>
      </c>
      <c r="X23" s="217">
        <f t="shared" si="5"/>
        <v>0</v>
      </c>
      <c r="Y23" s="217">
        <f t="shared" si="6"/>
        <v>0</v>
      </c>
      <c r="Z23" s="217">
        <f t="shared" si="7"/>
        <v>0</v>
      </c>
      <c r="AA23" s="217">
        <f t="shared" si="8"/>
        <v>0</v>
      </c>
      <c r="AB23" s="213"/>
      <c r="AN23" s="208"/>
    </row>
    <row r="24" spans="1:53">
      <c r="A24" s="214" t="s">
        <v>204</v>
      </c>
      <c r="B24" s="214">
        <v>68.5</v>
      </c>
      <c r="C24" s="214">
        <v>0.43</v>
      </c>
      <c r="D24" s="215">
        <v>29.454999999999998</v>
      </c>
      <c r="G24" s="204"/>
      <c r="H24" s="204"/>
      <c r="I24" s="107"/>
      <c r="J24" s="210"/>
      <c r="O24" s="211"/>
      <c r="P24" s="213">
        <f t="shared" si="9"/>
        <v>50.268000000000001</v>
      </c>
      <c r="Q24" s="213">
        <f t="shared" ref="Q24:Q31" si="11">IF(E5&lt;&gt;"",E5,F5)</f>
        <v>0</v>
      </c>
      <c r="R24" s="213">
        <f t="shared" si="10"/>
        <v>0</v>
      </c>
      <c r="S24" s="213">
        <f t="shared" si="0"/>
        <v>0</v>
      </c>
      <c r="T24" s="217">
        <f t="shared" si="1"/>
        <v>0</v>
      </c>
      <c r="U24" s="217">
        <f t="shared" si="2"/>
        <v>0</v>
      </c>
      <c r="V24" s="217">
        <f t="shared" si="3"/>
        <v>0</v>
      </c>
      <c r="W24" s="217">
        <f t="shared" si="4"/>
        <v>0</v>
      </c>
      <c r="X24" s="217">
        <f t="shared" si="5"/>
        <v>0</v>
      </c>
      <c r="Y24" s="217">
        <f t="shared" si="6"/>
        <v>0</v>
      </c>
      <c r="Z24" s="217">
        <f t="shared" si="7"/>
        <v>0</v>
      </c>
      <c r="AA24" s="217">
        <f t="shared" si="8"/>
        <v>0</v>
      </c>
      <c r="AB24" s="213"/>
      <c r="AN24" s="208"/>
    </row>
    <row r="25" spans="1:53">
      <c r="A25" s="218" t="s">
        <v>205</v>
      </c>
      <c r="B25" s="218">
        <v>80</v>
      </c>
      <c r="C25" s="218">
        <v>0.57999999999999996</v>
      </c>
      <c r="D25" s="219">
        <v>46.4</v>
      </c>
      <c r="G25" s="204"/>
      <c r="H25" s="204"/>
      <c r="I25" s="107"/>
      <c r="J25" s="210"/>
      <c r="O25" s="211"/>
      <c r="P25" s="213">
        <f t="shared" si="9"/>
        <v>18.48</v>
      </c>
      <c r="Q25" s="213">
        <f t="shared" si="11"/>
        <v>0</v>
      </c>
      <c r="R25" s="213">
        <f t="shared" si="10"/>
        <v>0</v>
      </c>
      <c r="S25" s="213">
        <f t="shared" si="0"/>
        <v>0</v>
      </c>
      <c r="T25" s="217">
        <f t="shared" si="1"/>
        <v>0</v>
      </c>
      <c r="U25" s="217">
        <f t="shared" si="2"/>
        <v>0</v>
      </c>
      <c r="V25" s="217">
        <f t="shared" si="3"/>
        <v>0</v>
      </c>
      <c r="W25" s="217">
        <f t="shared" si="4"/>
        <v>0</v>
      </c>
      <c r="X25" s="217">
        <f t="shared" si="5"/>
        <v>0</v>
      </c>
      <c r="Y25" s="217">
        <f t="shared" si="6"/>
        <v>0</v>
      </c>
      <c r="Z25" s="217">
        <f t="shared" si="7"/>
        <v>0</v>
      </c>
      <c r="AA25" s="217">
        <f t="shared" si="8"/>
        <v>0</v>
      </c>
      <c r="AB25" s="213"/>
      <c r="AN25" s="208"/>
    </row>
    <row r="26" spans="1:53">
      <c r="A26" s="214" t="s">
        <v>21</v>
      </c>
      <c r="B26" s="215">
        <v>193.5</v>
      </c>
      <c r="C26" s="216">
        <v>0.53</v>
      </c>
      <c r="D26" s="215">
        <v>102.55500000000001</v>
      </c>
      <c r="G26" s="204"/>
      <c r="H26" s="204"/>
      <c r="I26" s="107"/>
      <c r="J26" s="107"/>
      <c r="O26" s="211"/>
      <c r="P26" s="213">
        <f t="shared" si="9"/>
        <v>12.9</v>
      </c>
      <c r="Q26" s="213">
        <f t="shared" si="11"/>
        <v>0</v>
      </c>
      <c r="R26" s="213">
        <f t="shared" si="10"/>
        <v>0</v>
      </c>
      <c r="S26" s="213">
        <f t="shared" si="0"/>
        <v>12.9</v>
      </c>
      <c r="T26" s="217">
        <f t="shared" si="1"/>
        <v>0</v>
      </c>
      <c r="U26" s="217">
        <f t="shared" si="2"/>
        <v>0</v>
      </c>
      <c r="V26" s="217">
        <f t="shared" si="3"/>
        <v>0</v>
      </c>
      <c r="W26" s="217">
        <f t="shared" si="4"/>
        <v>0</v>
      </c>
      <c r="X26" s="217">
        <f t="shared" si="5"/>
        <v>0</v>
      </c>
      <c r="Y26" s="217">
        <f t="shared" si="6"/>
        <v>0</v>
      </c>
      <c r="Z26" s="217">
        <f t="shared" si="7"/>
        <v>0</v>
      </c>
      <c r="AA26" s="217">
        <f t="shared" si="8"/>
        <v>0</v>
      </c>
      <c r="AB26" s="213"/>
      <c r="AN26" s="208"/>
    </row>
    <row r="27" spans="1:53">
      <c r="A27" s="218" t="s">
        <v>26</v>
      </c>
      <c r="B27" s="219">
        <v>85.2</v>
      </c>
      <c r="C27" s="220">
        <v>0.59</v>
      </c>
      <c r="D27" s="219">
        <v>50.268000000000001</v>
      </c>
      <c r="G27" s="204"/>
      <c r="H27" s="204"/>
      <c r="I27" s="107"/>
      <c r="J27" s="210"/>
      <c r="O27" s="211"/>
      <c r="P27" s="213">
        <f t="shared" si="9"/>
        <v>0</v>
      </c>
      <c r="Q27" s="213" t="str">
        <f t="shared" si="11"/>
        <v>0</v>
      </c>
      <c r="R27" s="213">
        <f t="shared" si="10"/>
        <v>21.335661445456893</v>
      </c>
      <c r="S27" s="213">
        <f t="shared" si="0"/>
        <v>0</v>
      </c>
      <c r="T27" s="217">
        <f t="shared" si="1"/>
        <v>0</v>
      </c>
      <c r="U27" s="217">
        <f t="shared" si="2"/>
        <v>0</v>
      </c>
      <c r="V27" s="217">
        <f t="shared" si="3"/>
        <v>0</v>
      </c>
      <c r="W27" s="217">
        <f t="shared" si="4"/>
        <v>21.335661445456893</v>
      </c>
      <c r="X27" s="217">
        <f t="shared" si="5"/>
        <v>0</v>
      </c>
      <c r="Y27" s="217">
        <f t="shared" si="6"/>
        <v>0</v>
      </c>
      <c r="Z27" s="217">
        <f t="shared" si="7"/>
        <v>0</v>
      </c>
      <c r="AA27" s="217">
        <f t="shared" si="8"/>
        <v>0</v>
      </c>
      <c r="AB27" s="213"/>
      <c r="AN27" s="208"/>
    </row>
    <row r="28" spans="1:53">
      <c r="A28" s="214" t="s">
        <v>206</v>
      </c>
      <c r="B28" s="215">
        <v>64.666666666666671</v>
      </c>
      <c r="C28" s="216">
        <v>0.23</v>
      </c>
      <c r="D28" s="215">
        <v>14.873333333333335</v>
      </c>
      <c r="G28" s="204"/>
      <c r="H28" s="204"/>
      <c r="I28" s="107"/>
      <c r="J28" s="107"/>
      <c r="O28" s="211"/>
      <c r="P28" s="213">
        <f t="shared" si="9"/>
        <v>0</v>
      </c>
      <c r="Q28" s="213">
        <f t="shared" si="11"/>
        <v>28.000000000000004</v>
      </c>
      <c r="R28" s="213">
        <f t="shared" si="10"/>
        <v>150.5</v>
      </c>
      <c r="S28" s="213">
        <f t="shared" si="0"/>
        <v>24.94</v>
      </c>
      <c r="T28" s="217">
        <f t="shared" si="1"/>
        <v>0</v>
      </c>
      <c r="U28" s="217">
        <f t="shared" si="2"/>
        <v>24.94</v>
      </c>
      <c r="V28" s="217">
        <f t="shared" si="3"/>
        <v>24.94</v>
      </c>
      <c r="W28" s="217">
        <f t="shared" si="4"/>
        <v>150.5</v>
      </c>
      <c r="X28" s="217">
        <f t="shared" si="5"/>
        <v>0</v>
      </c>
      <c r="Y28" s="217">
        <f t="shared" si="6"/>
        <v>0</v>
      </c>
      <c r="Z28" s="217">
        <f t="shared" si="7"/>
        <v>150.5</v>
      </c>
      <c r="AA28" s="217">
        <f t="shared" si="8"/>
        <v>150.5</v>
      </c>
      <c r="AB28" s="213"/>
      <c r="AN28" s="208"/>
    </row>
    <row r="29" spans="1:53">
      <c r="A29" s="218" t="s">
        <v>207</v>
      </c>
      <c r="B29" s="218">
        <v>70</v>
      </c>
      <c r="C29" s="220">
        <v>0.59</v>
      </c>
      <c r="D29" s="219">
        <v>41.3</v>
      </c>
      <c r="G29" s="204"/>
      <c r="H29" s="107"/>
      <c r="I29" s="107"/>
      <c r="J29" s="107"/>
      <c r="O29" s="211"/>
      <c r="P29" s="213">
        <f t="shared" si="9"/>
        <v>0</v>
      </c>
      <c r="Q29" s="213">
        <f t="shared" si="11"/>
        <v>0</v>
      </c>
      <c r="R29" s="213">
        <f t="shared" si="10"/>
        <v>10</v>
      </c>
      <c r="S29" s="213">
        <f t="shared" si="0"/>
        <v>0</v>
      </c>
      <c r="T29" s="217">
        <f t="shared" si="1"/>
        <v>0</v>
      </c>
      <c r="U29" s="217">
        <f t="shared" si="2"/>
        <v>200</v>
      </c>
      <c r="V29" s="217">
        <f t="shared" si="3"/>
        <v>200</v>
      </c>
      <c r="W29" s="217">
        <f t="shared" si="4"/>
        <v>10</v>
      </c>
      <c r="X29" s="217">
        <f t="shared" si="5"/>
        <v>0</v>
      </c>
      <c r="Y29" s="217">
        <f t="shared" si="6"/>
        <v>0</v>
      </c>
      <c r="Z29" s="217">
        <f t="shared" si="7"/>
        <v>200</v>
      </c>
      <c r="AA29" s="217">
        <f t="shared" si="8"/>
        <v>200</v>
      </c>
      <c r="AB29" s="213"/>
      <c r="AN29" s="208"/>
    </row>
    <row r="30" spans="1:53">
      <c r="A30" s="214" t="s">
        <v>208</v>
      </c>
      <c r="B30" s="215">
        <v>127.33333333333333</v>
      </c>
      <c r="C30" s="216">
        <v>0.48</v>
      </c>
      <c r="D30" s="215">
        <v>61.12</v>
      </c>
      <c r="G30" s="204"/>
      <c r="O30" s="211"/>
      <c r="P30" s="213">
        <f t="shared" si="9"/>
        <v>100</v>
      </c>
      <c r="Q30" s="213">
        <f t="shared" si="11"/>
        <v>0</v>
      </c>
      <c r="R30" s="213">
        <f t="shared" si="10"/>
        <v>0</v>
      </c>
      <c r="S30" s="213">
        <f t="shared" si="0"/>
        <v>100</v>
      </c>
      <c r="T30" s="217">
        <f t="shared" si="1"/>
        <v>0</v>
      </c>
      <c r="U30" s="217">
        <f t="shared" si="2"/>
        <v>10</v>
      </c>
      <c r="V30" s="217">
        <f t="shared" si="3"/>
        <v>10</v>
      </c>
      <c r="W30" s="217">
        <f t="shared" si="4"/>
        <v>0</v>
      </c>
      <c r="X30" s="217">
        <f t="shared" si="5"/>
        <v>0</v>
      </c>
      <c r="Y30" s="217">
        <f t="shared" si="6"/>
        <v>0</v>
      </c>
      <c r="Z30" s="217">
        <f t="shared" si="7"/>
        <v>10</v>
      </c>
      <c r="AA30" s="217">
        <f t="shared" si="8"/>
        <v>10</v>
      </c>
      <c r="AB30" s="213"/>
    </row>
    <row r="31" spans="1:53">
      <c r="G31" s="204"/>
      <c r="O31" s="211"/>
      <c r="P31" s="213">
        <f t="shared" si="9"/>
        <v>0</v>
      </c>
      <c r="Q31" s="213">
        <f t="shared" si="11"/>
        <v>0</v>
      </c>
      <c r="R31" s="213">
        <f t="shared" si="10"/>
        <v>0</v>
      </c>
      <c r="S31" s="213">
        <f t="shared" si="0"/>
        <v>0</v>
      </c>
      <c r="T31" s="217">
        <f t="shared" si="1"/>
        <v>221.45669291338584</v>
      </c>
      <c r="U31" s="217">
        <f t="shared" si="2"/>
        <v>0</v>
      </c>
      <c r="V31" s="217">
        <f t="shared" si="3"/>
        <v>0</v>
      </c>
      <c r="W31" s="217">
        <f t="shared" si="4"/>
        <v>0</v>
      </c>
      <c r="X31" s="217">
        <f t="shared" si="5"/>
        <v>221.45669291338584</v>
      </c>
      <c r="Y31" s="217">
        <f t="shared" si="6"/>
        <v>221.45669291338584</v>
      </c>
      <c r="Z31" s="217">
        <f t="shared" si="7"/>
        <v>0</v>
      </c>
      <c r="AA31" s="217">
        <f t="shared" si="8"/>
        <v>0</v>
      </c>
      <c r="AB31" s="213"/>
    </row>
    <row r="32" spans="1:53" ht="45">
      <c r="A32" s="221" t="s">
        <v>217</v>
      </c>
      <c r="B32" s="222" t="s">
        <v>201</v>
      </c>
      <c r="C32" s="222" t="s">
        <v>209</v>
      </c>
      <c r="D32" s="223" t="s">
        <v>210</v>
      </c>
      <c r="G32" s="204"/>
      <c r="O32" s="211"/>
      <c r="P32" s="213">
        <f>IF(B13&lt;&gt;0,B13,C13)</f>
        <v>0</v>
      </c>
      <c r="Q32" s="213">
        <f>IF(E13&lt;&gt;0,E13,F13)</f>
        <v>0</v>
      </c>
      <c r="R32" s="213">
        <f>IF(I13&lt;&gt;0,I13,J13)</f>
        <v>0</v>
      </c>
      <c r="S32" s="213">
        <f t="shared" si="0"/>
        <v>150</v>
      </c>
      <c r="T32" s="217">
        <f t="shared" si="1"/>
        <v>0</v>
      </c>
      <c r="U32" s="217">
        <f t="shared" si="2"/>
        <v>0</v>
      </c>
      <c r="V32" s="217">
        <f t="shared" si="3"/>
        <v>0</v>
      </c>
      <c r="W32" s="217">
        <f t="shared" si="4"/>
        <v>0</v>
      </c>
      <c r="X32" s="217">
        <f t="shared" si="5"/>
        <v>0</v>
      </c>
      <c r="Y32" s="217">
        <f t="shared" si="6"/>
        <v>0</v>
      </c>
      <c r="Z32" s="217">
        <f t="shared" si="7"/>
        <v>0</v>
      </c>
      <c r="AA32" s="217">
        <f t="shared" si="8"/>
        <v>0</v>
      </c>
      <c r="AB32" s="213"/>
    </row>
    <row r="33" spans="1:28">
      <c r="A33" s="224" t="s">
        <v>203</v>
      </c>
      <c r="B33" s="225">
        <v>58</v>
      </c>
      <c r="C33" s="226">
        <v>0.43</v>
      </c>
      <c r="D33" s="225">
        <v>24.94</v>
      </c>
      <c r="G33" s="204"/>
      <c r="O33" s="211"/>
      <c r="P33" s="213">
        <f>IF(B14&lt;&gt;0,B14,C14)</f>
        <v>0</v>
      </c>
      <c r="Q33" s="213">
        <f>IF(E14&lt;&gt;0,E14,F14)</f>
        <v>0</v>
      </c>
      <c r="R33" s="213">
        <f>IF(I14&lt;&gt;0,I14,J14)</f>
        <v>0</v>
      </c>
      <c r="S33" s="213">
        <f t="shared" si="0"/>
        <v>250</v>
      </c>
      <c r="T33" s="217">
        <f t="shared" si="1"/>
        <v>0</v>
      </c>
      <c r="U33" s="217">
        <f t="shared" si="2"/>
        <v>0</v>
      </c>
      <c r="V33" s="217">
        <f t="shared" si="3"/>
        <v>0</v>
      </c>
      <c r="W33" s="217">
        <f t="shared" si="4"/>
        <v>0</v>
      </c>
      <c r="X33" s="217">
        <f t="shared" si="5"/>
        <v>0</v>
      </c>
      <c r="Y33" s="217">
        <f t="shared" si="6"/>
        <v>0</v>
      </c>
      <c r="Z33" s="217">
        <f t="shared" si="7"/>
        <v>0</v>
      </c>
      <c r="AA33" s="217">
        <f t="shared" si="8"/>
        <v>0</v>
      </c>
      <c r="AB33" s="213"/>
    </row>
    <row r="34" spans="1:28">
      <c r="A34" s="224" t="s">
        <v>203</v>
      </c>
      <c r="B34" s="225">
        <v>350</v>
      </c>
      <c r="C34" s="226">
        <v>0.43</v>
      </c>
      <c r="D34" s="225">
        <v>150.5</v>
      </c>
      <c r="G34" s="204"/>
      <c r="O34" s="211"/>
      <c r="P34" s="213">
        <f>IF(B17&lt;&gt;0,B17,C17)</f>
        <v>150</v>
      </c>
      <c r="Q34" s="213">
        <f>IF(E17&lt;&gt;0,E17,F17)</f>
        <v>0</v>
      </c>
      <c r="R34" s="213">
        <f>IF(I17&lt;&gt;0,I17,J17)</f>
        <v>0</v>
      </c>
      <c r="S34" s="213">
        <f>IF(M17&lt;&gt;0,M17,N17)</f>
        <v>0</v>
      </c>
      <c r="T34" s="217">
        <f>IF(Q17&lt;&gt;0,Q17,R17)</f>
        <v>0</v>
      </c>
      <c r="U34" s="217">
        <f>IF(U17&lt;&gt;0,U17,V17)</f>
        <v>0</v>
      </c>
      <c r="V34" s="217">
        <f>IF(Y17&lt;&gt;0,Y17,Z17)</f>
        <v>0</v>
      </c>
      <c r="W34" s="217">
        <f>IF(AC17&lt;&gt;0,AC17,AD17)</f>
        <v>0</v>
      </c>
      <c r="X34" s="217">
        <f>IF(AG17&lt;&gt;0,AG17,AH17)</f>
        <v>0</v>
      </c>
      <c r="Y34" s="217">
        <f>IF(AK17&lt;&gt;0,AK17,AL17)</f>
        <v>0</v>
      </c>
      <c r="Z34" s="217">
        <f>IF(AO17&lt;&gt;0,AO17,AP17)</f>
        <v>0</v>
      </c>
      <c r="AA34" s="217">
        <f>IF(AS17&lt;&gt;0,AS17,AT17)</f>
        <v>0</v>
      </c>
      <c r="AB34" s="213"/>
    </row>
    <row r="35" spans="1:28">
      <c r="A35" s="227" t="s">
        <v>204</v>
      </c>
      <c r="B35" s="228">
        <v>26.820441791900556</v>
      </c>
      <c r="C35" s="229">
        <v>0.43</v>
      </c>
      <c r="D35" s="228">
        <v>11.532789970517239</v>
      </c>
      <c r="P35" s="213"/>
      <c r="Q35" s="213"/>
      <c r="R35" s="213"/>
      <c r="S35" s="213"/>
      <c r="T35" s="213"/>
      <c r="U35" s="213"/>
      <c r="V35" s="213"/>
      <c r="W35" s="213"/>
      <c r="X35" s="213"/>
      <c r="Y35" s="213"/>
      <c r="Z35" s="213"/>
      <c r="AA35" s="213"/>
      <c r="AB35" s="213"/>
    </row>
    <row r="36" spans="1:28">
      <c r="A36" s="224" t="s">
        <v>211</v>
      </c>
      <c r="B36" s="225">
        <v>47</v>
      </c>
      <c r="C36" s="226">
        <v>0.21</v>
      </c>
      <c r="D36" s="225">
        <v>9.8699999999999992</v>
      </c>
    </row>
    <row r="37" spans="1:28">
      <c r="A37" s="227" t="s">
        <v>212</v>
      </c>
      <c r="B37" s="228">
        <v>85</v>
      </c>
      <c r="C37" s="229">
        <v>0.43</v>
      </c>
      <c r="D37" s="228">
        <v>36.549999999999997</v>
      </c>
      <c r="G37" s="230"/>
    </row>
    <row r="38" spans="1:28">
      <c r="A38" s="224" t="s">
        <v>25</v>
      </c>
      <c r="B38" s="225">
        <v>30</v>
      </c>
      <c r="C38" s="226">
        <v>0.43</v>
      </c>
      <c r="D38" s="225">
        <v>12.9</v>
      </c>
    </row>
    <row r="39" spans="1:28">
      <c r="A39" s="227" t="s">
        <v>213</v>
      </c>
      <c r="B39" s="228">
        <v>26.820441791900556</v>
      </c>
      <c r="C39" s="229">
        <v>0.57999999999999996</v>
      </c>
      <c r="D39" s="228">
        <v>15.555856239302322</v>
      </c>
    </row>
    <row r="40" spans="1:28">
      <c r="A40" s="224" t="s">
        <v>23</v>
      </c>
      <c r="B40" s="225">
        <v>33</v>
      </c>
      <c r="C40" s="226">
        <v>0.57999999999999996</v>
      </c>
      <c r="D40" s="225">
        <v>19.139999999999997</v>
      </c>
    </row>
    <row r="41" spans="1:28">
      <c r="A41" s="231" t="s">
        <v>214</v>
      </c>
      <c r="B41" s="232">
        <v>49.617817315016033</v>
      </c>
      <c r="C41" s="233">
        <v>0.43</v>
      </c>
      <c r="D41" s="232">
        <v>21.335661445456893</v>
      </c>
    </row>
    <row r="42" spans="1:28">
      <c r="A42" s="227" t="s">
        <v>267</v>
      </c>
      <c r="B42" s="228">
        <v>78</v>
      </c>
      <c r="C42" s="229">
        <v>0.79</v>
      </c>
      <c r="D42" s="228">
        <v>15.555856239302322</v>
      </c>
    </row>
    <row r="43" spans="1:28">
      <c r="A43" s="218" t="s">
        <v>266</v>
      </c>
      <c r="B43" s="234">
        <v>50</v>
      </c>
      <c r="C43" s="229">
        <v>0.56000000000000005</v>
      </c>
      <c r="D43" s="227">
        <f>B43*C43</f>
        <v>28.000000000000004</v>
      </c>
    </row>
    <row r="45" spans="1:28" s="107" customFormat="1">
      <c r="B45" s="235"/>
      <c r="C45" s="235"/>
      <c r="D45" s="235"/>
      <c r="E45" s="235"/>
      <c r="F45" s="235"/>
      <c r="G45" s="235"/>
      <c r="H45" s="235"/>
      <c r="I45" s="235"/>
      <c r="J45" s="235"/>
      <c r="K45" s="235"/>
      <c r="L45" s="235"/>
      <c r="M45" s="235"/>
    </row>
    <row r="46" spans="1:28" s="107" customFormat="1"/>
    <row r="47" spans="1:28" s="107" customFormat="1" ht="15.75">
      <c r="G47" s="236"/>
    </row>
    <row r="48" spans="1:28" s="107" customFormat="1" ht="15.75">
      <c r="G48" s="236"/>
    </row>
    <row r="49" spans="7:7" s="107" customFormat="1" ht="15.75">
      <c r="G49" s="236"/>
    </row>
    <row r="50" spans="7:7" s="107" customFormat="1" ht="15.75">
      <c r="G50" s="236"/>
    </row>
    <row r="51" spans="7:7" s="107" customFormat="1" ht="15.75">
      <c r="G51" s="236"/>
    </row>
    <row r="52" spans="7:7" s="107" customFormat="1" ht="15.75">
      <c r="G52" s="236"/>
    </row>
    <row r="53" spans="7:7" s="107" customFormat="1" ht="15.75">
      <c r="G53" s="236"/>
    </row>
    <row r="54" spans="7:7" s="107" customFormat="1" ht="15.75">
      <c r="G54" s="236"/>
    </row>
    <row r="55" spans="7:7" s="107" customFormat="1" ht="15.75">
      <c r="G55" s="236"/>
    </row>
    <row r="56" spans="7:7" ht="15.75">
      <c r="G56" s="236"/>
    </row>
    <row r="57" spans="7:7" ht="15.75">
      <c r="G57" s="237"/>
    </row>
    <row r="58" spans="7:7" ht="15.75">
      <c r="G58" s="237"/>
    </row>
    <row r="59" spans="7:7">
      <c r="G59" s="238"/>
    </row>
  </sheetData>
  <sheetProtection algorithmName="SHA-512" hashValue="OMTcNGgUGCNMzfBcV6tnuJd5pfdp1H2SJN8AiNo5NQDvW5IBdchu0K8dNXbQfobrU+3rEVi4L/qyc4L9LDk7BQ==" saltValue="VGZPwgVYRqfzYT7VoYY0pg==" spinCount="100000" sheet="1"/>
  <mergeCells count="7">
    <mergeCell ref="AC1:AD1"/>
    <mergeCell ref="A19:C19"/>
    <mergeCell ref="B1:D1"/>
    <mergeCell ref="I1:L1"/>
    <mergeCell ref="E1:H1"/>
    <mergeCell ref="M1:P1"/>
    <mergeCell ref="Q1:T1"/>
  </mergeCells>
  <pageMargins left="0.7" right="0.7" top="0.75" bottom="0.75" header="0.3" footer="0.3"/>
  <pageSetup paperSize="17" scale="70" fitToWidth="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249977111117893"/>
    <pageSetUpPr fitToPage="1"/>
  </sheetPr>
  <dimension ref="A1:Q30"/>
  <sheetViews>
    <sheetView zoomScale="70" zoomScaleNormal="70" workbookViewId="0">
      <selection activeCell="K17" sqref="K17"/>
    </sheetView>
  </sheetViews>
  <sheetFormatPr defaultColWidth="9.140625" defaultRowHeight="15"/>
  <cols>
    <col min="1" max="1" width="57" style="143" customWidth="1"/>
    <col min="2" max="2" width="14.28515625" style="143" bestFit="1" customWidth="1"/>
    <col min="3" max="3" width="15" style="143" bestFit="1" customWidth="1"/>
    <col min="4" max="4" width="10.140625" style="143" bestFit="1" customWidth="1"/>
    <col min="5" max="5" width="28.85546875" style="143" customWidth="1"/>
    <col min="6" max="6" width="10.5703125" style="143" bestFit="1" customWidth="1"/>
    <col min="7" max="7" width="9.140625" style="143"/>
    <col min="8" max="8" width="9.42578125" style="143" bestFit="1" customWidth="1"/>
    <col min="9" max="9" width="12.7109375" style="143" customWidth="1"/>
    <col min="10" max="10" width="10.7109375" style="143" customWidth="1"/>
    <col min="11" max="11" width="12.42578125" style="143" customWidth="1"/>
    <col min="12" max="12" width="9.140625" style="143"/>
    <col min="13" max="13" width="11.42578125" style="143" customWidth="1"/>
    <col min="14" max="14" width="29.5703125" style="143" customWidth="1"/>
    <col min="15" max="15" width="10.5703125" style="143" customWidth="1"/>
    <col min="16" max="16384" width="9.140625" style="143"/>
  </cols>
  <sheetData>
    <row r="1" spans="1:17" ht="15.75">
      <c r="A1" s="239" t="s">
        <v>171</v>
      </c>
      <c r="B1" s="240"/>
      <c r="C1" s="240"/>
      <c r="D1" s="240"/>
      <c r="E1" s="240"/>
      <c r="F1" s="240"/>
      <c r="G1" s="240"/>
      <c r="H1" s="240"/>
      <c r="I1" s="240"/>
      <c r="J1" s="348"/>
      <c r="K1" s="240"/>
      <c r="L1" s="240"/>
      <c r="M1" s="240"/>
      <c r="N1" s="240"/>
      <c r="O1" s="240"/>
      <c r="P1" s="241"/>
    </row>
    <row r="2" spans="1:17" ht="75">
      <c r="A2" s="242"/>
      <c r="B2" s="243" t="s">
        <v>149</v>
      </c>
      <c r="C2" s="243" t="s">
        <v>176</v>
      </c>
      <c r="D2" s="243" t="s">
        <v>150</v>
      </c>
      <c r="E2" s="243" t="s">
        <v>153</v>
      </c>
      <c r="F2" s="243" t="s">
        <v>172</v>
      </c>
      <c r="G2" s="243" t="s">
        <v>159</v>
      </c>
      <c r="H2" s="243" t="s">
        <v>165</v>
      </c>
      <c r="I2" s="243" t="s">
        <v>169</v>
      </c>
      <c r="J2" s="349" t="s">
        <v>283</v>
      </c>
      <c r="K2" s="243" t="s">
        <v>181</v>
      </c>
      <c r="L2" s="243" t="s">
        <v>173</v>
      </c>
      <c r="M2" s="243" t="s">
        <v>163</v>
      </c>
      <c r="N2" s="243" t="s">
        <v>162</v>
      </c>
      <c r="O2" s="244"/>
      <c r="P2" s="243" t="s">
        <v>262</v>
      </c>
      <c r="Q2" s="213"/>
    </row>
    <row r="3" spans="1:17">
      <c r="A3" s="245" t="s">
        <v>148</v>
      </c>
      <c r="B3" s="246" t="s">
        <v>196</v>
      </c>
      <c r="C3" s="246" t="s">
        <v>138</v>
      </c>
      <c r="D3" s="246"/>
      <c r="E3" s="246" t="s">
        <v>129</v>
      </c>
      <c r="F3" s="246" t="s">
        <v>157</v>
      </c>
      <c r="G3" s="246"/>
      <c r="H3" s="246"/>
      <c r="I3" s="246"/>
      <c r="J3" s="351" t="s">
        <v>292</v>
      </c>
      <c r="K3" s="1"/>
      <c r="L3" s="247">
        <f>AVERAGE(15,30)/8</f>
        <v>2.8125</v>
      </c>
      <c r="M3" s="246" t="s">
        <v>142</v>
      </c>
      <c r="N3" s="248" t="s">
        <v>164</v>
      </c>
      <c r="O3" s="249"/>
      <c r="P3" s="250"/>
      <c r="Q3" s="251">
        <f>IF(K3&lt;&gt;0,K3,L3)</f>
        <v>2.8125</v>
      </c>
    </row>
    <row r="4" spans="1:17">
      <c r="A4" s="252" t="s">
        <v>63</v>
      </c>
      <c r="B4" s="246"/>
      <c r="C4" s="246" t="s">
        <v>151</v>
      </c>
      <c r="D4" s="246" t="s">
        <v>144</v>
      </c>
      <c r="E4" s="246"/>
      <c r="F4" s="246" t="s">
        <v>158</v>
      </c>
      <c r="G4" s="246"/>
      <c r="H4" s="246"/>
      <c r="I4" s="246"/>
      <c r="J4" s="351" t="s">
        <v>293</v>
      </c>
      <c r="K4" s="1"/>
      <c r="L4" s="247">
        <f>(INDEX(Productivity!B26:F29,(IF((Pipe_Diameter_m*1000)&lt;=100,1,(IF((Pipe_Diameter_m*1000)&lt;=200,2,IF((Pipe_Diameter_m*1000)&lt;=300,3,4))))), MATCH('Inputs '!C3,Productivity!B25:F25,0)))/8</f>
        <v>8.125</v>
      </c>
      <c r="M4" s="246" t="s">
        <v>142</v>
      </c>
      <c r="N4" s="248" t="s">
        <v>175</v>
      </c>
      <c r="O4" s="249"/>
      <c r="P4" s="250"/>
      <c r="Q4" s="251">
        <f>IF(K4&lt;&gt;0,K4,L4)</f>
        <v>8.125</v>
      </c>
    </row>
    <row r="5" spans="1:17">
      <c r="A5" s="245" t="s">
        <v>133</v>
      </c>
      <c r="B5" s="246"/>
      <c r="C5" s="246" t="s">
        <v>140</v>
      </c>
      <c r="D5" s="246"/>
      <c r="E5" s="246" t="s">
        <v>197</v>
      </c>
      <c r="F5" s="246"/>
      <c r="G5" s="246"/>
      <c r="H5" s="246"/>
      <c r="I5" s="246"/>
      <c r="J5" s="351" t="s">
        <v>294</v>
      </c>
      <c r="K5" s="1"/>
      <c r="L5" s="247">
        <f>AVERAGE((CONVERT(30,"ft","m")),(CONVERT(80,"ft","m")))/8</f>
        <v>2.0954999999999999</v>
      </c>
      <c r="M5" s="246" t="s">
        <v>142</v>
      </c>
      <c r="N5" s="248" t="s">
        <v>161</v>
      </c>
      <c r="O5" s="249"/>
      <c r="P5" s="250"/>
      <c r="Q5" s="251">
        <f>IF(K5&lt;&gt;0,K5,MT_prod)</f>
        <v>2.0954999999999999</v>
      </c>
    </row>
    <row r="6" spans="1:17">
      <c r="A6" s="245" t="s">
        <v>60</v>
      </c>
      <c r="B6" s="246"/>
      <c r="C6" s="246" t="s">
        <v>139</v>
      </c>
      <c r="D6" s="246"/>
      <c r="E6" s="246" t="s">
        <v>127</v>
      </c>
      <c r="F6" s="246" t="s">
        <v>157</v>
      </c>
      <c r="G6" s="246"/>
      <c r="H6" s="246" t="s">
        <v>166</v>
      </c>
      <c r="I6" s="246"/>
      <c r="J6" s="351" t="s">
        <v>295</v>
      </c>
      <c r="K6" s="1"/>
      <c r="L6" s="247">
        <f>AVERAGE((CONVERT(3,"ft","m")),(CONVERT(12,"ft","m")))</f>
        <v>2.286</v>
      </c>
      <c r="M6" s="246" t="s">
        <v>142</v>
      </c>
      <c r="N6" s="248"/>
      <c r="O6" s="249"/>
      <c r="P6" s="250"/>
      <c r="Q6" s="251">
        <f>IF(K6&lt;&gt;0,K6,AB_prod)</f>
        <v>2.286</v>
      </c>
    </row>
    <row r="7" spans="1:17">
      <c r="A7" s="245" t="s">
        <v>154</v>
      </c>
      <c r="B7" s="246"/>
      <c r="C7" s="246" t="s">
        <v>141</v>
      </c>
      <c r="D7" s="246"/>
      <c r="E7" s="246" t="s">
        <v>128</v>
      </c>
      <c r="F7" s="246" t="s">
        <v>157</v>
      </c>
      <c r="G7" s="246"/>
      <c r="H7" s="246"/>
      <c r="I7" s="246"/>
      <c r="J7" s="351" t="s">
        <v>296</v>
      </c>
      <c r="K7" s="1"/>
      <c r="L7" s="247">
        <f>AVERAGE((CONVERT(2,"in","m")),(CONVERT(10,"in","m")))*60</f>
        <v>9.1440000000000001</v>
      </c>
      <c r="M7" s="246" t="s">
        <v>142</v>
      </c>
      <c r="N7" s="248"/>
      <c r="O7" s="249"/>
      <c r="P7" s="250"/>
      <c r="Q7" s="251">
        <f>IF(K7&lt;&gt;0,K7,PR_prod)</f>
        <v>9.1440000000000001</v>
      </c>
    </row>
    <row r="8" spans="1:17">
      <c r="A8" s="245" t="s">
        <v>53</v>
      </c>
      <c r="B8" s="246"/>
      <c r="C8" s="246" t="s">
        <v>137</v>
      </c>
      <c r="D8" s="246"/>
      <c r="E8" s="246"/>
      <c r="F8" s="246" t="s">
        <v>157</v>
      </c>
      <c r="G8" s="246"/>
      <c r="H8" s="246"/>
      <c r="I8" s="246"/>
      <c r="J8" s="351" t="s">
        <v>297</v>
      </c>
      <c r="K8" s="1"/>
      <c r="L8" s="253">
        <v>10</v>
      </c>
      <c r="M8" s="246" t="s">
        <v>142</v>
      </c>
      <c r="N8" s="248"/>
      <c r="O8" s="249"/>
      <c r="P8" s="250"/>
      <c r="Q8" s="251">
        <f>IF(K8&lt;&gt;0,K8,IM_prod)</f>
        <v>10</v>
      </c>
    </row>
    <row r="9" spans="1:17">
      <c r="A9" s="245" t="s">
        <v>61</v>
      </c>
      <c r="B9" s="246"/>
      <c r="C9" s="246"/>
      <c r="D9" s="246"/>
      <c r="E9" s="246" t="s">
        <v>130</v>
      </c>
      <c r="F9" s="246" t="s">
        <v>247</v>
      </c>
      <c r="G9" s="246"/>
      <c r="H9" s="246"/>
      <c r="I9" s="246"/>
      <c r="J9" s="351" t="s">
        <v>298</v>
      </c>
      <c r="K9" s="1"/>
      <c r="L9" s="253">
        <v>6</v>
      </c>
      <c r="M9" s="246" t="s">
        <v>170</v>
      </c>
      <c r="N9" s="248"/>
      <c r="O9" s="249"/>
      <c r="P9" s="250"/>
      <c r="Q9" s="251">
        <f>(IF(K9&lt;&gt;0,K9,CIPP_prod))</f>
        <v>6</v>
      </c>
    </row>
    <row r="10" spans="1:17">
      <c r="A10" s="245" t="s">
        <v>62</v>
      </c>
      <c r="B10" s="246"/>
      <c r="C10" s="246"/>
      <c r="D10" s="246"/>
      <c r="E10" s="246" t="s">
        <v>131</v>
      </c>
      <c r="F10" s="246" t="s">
        <v>157</v>
      </c>
      <c r="G10" s="246"/>
      <c r="H10" s="246"/>
      <c r="I10" s="246"/>
      <c r="J10" s="351" t="s">
        <v>299</v>
      </c>
      <c r="K10" s="1"/>
      <c r="L10" s="247">
        <v>7.62</v>
      </c>
      <c r="M10" s="246" t="s">
        <v>142</v>
      </c>
      <c r="N10" s="248"/>
      <c r="O10" s="249"/>
      <c r="P10" s="250"/>
      <c r="Q10" s="251">
        <f>IF(K10&lt;&gt;0,K10,SlipL_prod)</f>
        <v>7.62</v>
      </c>
    </row>
    <row r="11" spans="1:17">
      <c r="A11" s="245" t="s">
        <v>77</v>
      </c>
      <c r="B11" s="246"/>
      <c r="C11" s="246"/>
      <c r="D11" s="246"/>
      <c r="E11" s="246"/>
      <c r="F11" s="246" t="s">
        <v>157</v>
      </c>
      <c r="G11" s="246" t="s">
        <v>160</v>
      </c>
      <c r="H11" s="246"/>
      <c r="I11" s="246"/>
      <c r="J11" s="351" t="s">
        <v>300</v>
      </c>
      <c r="K11" s="1"/>
      <c r="L11" s="253">
        <f>4</f>
        <v>4</v>
      </c>
      <c r="M11" s="246" t="s">
        <v>170</v>
      </c>
      <c r="N11" s="248"/>
      <c r="O11" s="249"/>
      <c r="P11" s="250"/>
      <c r="Q11" s="251">
        <f>IF(K11&lt;&gt;0,K11,PB_prod)</f>
        <v>4</v>
      </c>
    </row>
    <row r="12" spans="1:17">
      <c r="A12" s="245" t="s">
        <v>132</v>
      </c>
      <c r="B12" s="246"/>
      <c r="C12" s="246"/>
      <c r="D12" s="246"/>
      <c r="E12" s="246"/>
      <c r="F12" s="246" t="s">
        <v>158</v>
      </c>
      <c r="G12" s="246"/>
      <c r="H12" s="246"/>
      <c r="I12" s="246"/>
      <c r="J12" s="351" t="s">
        <v>301</v>
      </c>
      <c r="K12" s="1"/>
      <c r="L12" s="253">
        <v>38.1</v>
      </c>
      <c r="M12" s="246" t="s">
        <v>142</v>
      </c>
      <c r="N12" s="248"/>
      <c r="O12" s="249"/>
      <c r="P12" s="250"/>
      <c r="Q12" s="251">
        <f>IF(K12&lt;&gt;0,K12,SL_prod)</f>
        <v>38.1</v>
      </c>
    </row>
    <row r="13" spans="1:17">
      <c r="A13" s="245" t="s">
        <v>167</v>
      </c>
      <c r="B13" s="246"/>
      <c r="C13" s="246"/>
      <c r="D13" s="246"/>
      <c r="E13" s="246"/>
      <c r="F13" s="246"/>
      <c r="G13" s="246"/>
      <c r="H13" s="246"/>
      <c r="I13" s="246" t="s">
        <v>168</v>
      </c>
      <c r="J13" s="351" t="s">
        <v>302</v>
      </c>
      <c r="K13" s="1"/>
      <c r="L13" s="247">
        <f>AVERAGE((CONVERT(20,"ft","m")),(CONVERT(35,"ft","m")))/8</f>
        <v>1.04775</v>
      </c>
      <c r="M13" s="246" t="s">
        <v>142</v>
      </c>
      <c r="N13" s="248"/>
      <c r="O13" s="249"/>
      <c r="P13" s="250"/>
      <c r="Q13" s="251">
        <f>IF(K13&lt;&gt;0,K13,BoxJ_prod)</f>
        <v>1.04775</v>
      </c>
    </row>
    <row r="14" spans="1:17">
      <c r="A14" s="245" t="s">
        <v>64</v>
      </c>
      <c r="B14" s="246"/>
      <c r="C14" s="246"/>
      <c r="D14" s="246"/>
      <c r="E14" s="246"/>
      <c r="F14" s="246"/>
      <c r="G14" s="246"/>
      <c r="H14" s="246"/>
      <c r="I14" s="246"/>
      <c r="J14" s="351" t="s">
        <v>307</v>
      </c>
      <c r="K14" s="1"/>
      <c r="L14" s="247">
        <f>AVERAGE((CONVERT(3,"ft","m")),(CONVERT(12,"ft","m")))</f>
        <v>2.286</v>
      </c>
      <c r="M14" s="246" t="s">
        <v>142</v>
      </c>
      <c r="N14" s="248"/>
      <c r="O14" s="249"/>
      <c r="P14" s="250"/>
      <c r="Q14" s="251"/>
    </row>
    <row r="16" spans="1:17" ht="15.75">
      <c r="A16" s="239" t="s">
        <v>227</v>
      </c>
      <c r="B16" s="254"/>
      <c r="C16" s="241"/>
      <c r="D16" s="254"/>
      <c r="E16" s="254"/>
      <c r="F16" s="254"/>
      <c r="G16" s="20"/>
      <c r="H16" s="107"/>
    </row>
    <row r="17" spans="1:12">
      <c r="A17" s="255" t="s">
        <v>116</v>
      </c>
      <c r="B17" s="7" t="s">
        <v>200</v>
      </c>
      <c r="C17" s="7" t="s">
        <v>112</v>
      </c>
      <c r="D17" s="7" t="s">
        <v>113</v>
      </c>
      <c r="E17" s="7" t="s">
        <v>114</v>
      </c>
      <c r="F17" s="7" t="s">
        <v>115</v>
      </c>
      <c r="G17" s="107"/>
      <c r="H17" s="107"/>
    </row>
    <row r="18" spans="1:12">
      <c r="A18" s="255" t="s">
        <v>246</v>
      </c>
      <c r="B18" s="347">
        <f>1.1+0.04+ IF(Trench_Depth&gt;(CONVERT(4, "ft","m")), 5.5,0)</f>
        <v>6.6400000000000006</v>
      </c>
      <c r="C18" s="347">
        <f>1.5+0.07+1+ IF(Trench_Depth&gt;(CONVERT(4, "ft","m")), 5.5,0)</f>
        <v>8.07</v>
      </c>
      <c r="D18" s="347">
        <f>2+0.1+1.2+ IF(Trench_Depth&gt;(CONVERT(4, "ft","m")), 5.5,0)</f>
        <v>8.8000000000000007</v>
      </c>
      <c r="E18" s="347">
        <f>1.4+0.1+1.2+ 4</f>
        <v>6.7</v>
      </c>
      <c r="F18" s="347">
        <f>1.5+6</f>
        <v>7.5</v>
      </c>
      <c r="G18" s="107"/>
      <c r="H18" s="107"/>
    </row>
    <row r="19" spans="1:12">
      <c r="A19" s="255" t="s">
        <v>245</v>
      </c>
      <c r="B19" s="347">
        <f>1.5+0.04+ IF(Trench_Depth&gt;(CONVERT(4, "ft","m")), 5.5,0)</f>
        <v>7.04</v>
      </c>
      <c r="C19" s="347">
        <f>2.8+0.07+1+ IF(Trench_Depth&gt;(CONVERT(4, "ft","m")), 5.5,0)</f>
        <v>9.3699999999999992</v>
      </c>
      <c r="D19" s="347">
        <f>3.7+0.1+1.2+ IF(Trench_Depth&gt;(CONVERT(4, "ft","m")), 5.5,0)</f>
        <v>10.5</v>
      </c>
      <c r="E19" s="347">
        <f>4.6+0.1+1.2+ 4</f>
        <v>9.8999999999999986</v>
      </c>
      <c r="F19" s="347">
        <f>4.6+6</f>
        <v>10.6</v>
      </c>
      <c r="G19" s="107"/>
      <c r="H19" s="108"/>
      <c r="I19" s="256"/>
      <c r="J19" s="256"/>
      <c r="K19" s="256"/>
      <c r="L19" s="256"/>
    </row>
    <row r="20" spans="1:12">
      <c r="A20" s="255" t="s">
        <v>244</v>
      </c>
      <c r="B20" s="347">
        <f>2+0.04+ IF(Trench_Depth&gt;(CONVERT(4, "ft","m")), 5.5,0)</f>
        <v>7.54</v>
      </c>
      <c r="C20" s="347">
        <f>3.7+0.07+1+ IF(Trench_Depth&gt;(CONVERT(4, "ft","m")), 5.5,0)</f>
        <v>10.27</v>
      </c>
      <c r="D20" s="347">
        <f>4.9+0.1+1.2+ IF(Trench_Depth&gt;(CONVERT(4, "ft","m")), 5.5,0)</f>
        <v>11.7</v>
      </c>
      <c r="E20" s="347">
        <f>6.1+0.1+1.2+ 4</f>
        <v>11.399999999999999</v>
      </c>
      <c r="F20" s="347">
        <f>6.1+6</f>
        <v>12.1</v>
      </c>
      <c r="G20" s="107"/>
      <c r="H20" s="256"/>
      <c r="I20" s="256"/>
      <c r="J20" s="256"/>
      <c r="K20" s="256"/>
      <c r="L20" s="256"/>
    </row>
    <row r="21" spans="1:12" ht="18" customHeight="1">
      <c r="A21" s="401" t="s">
        <v>270</v>
      </c>
      <c r="B21" s="401"/>
      <c r="C21" s="401"/>
      <c r="D21" s="401"/>
      <c r="E21" s="401"/>
      <c r="F21" s="401"/>
      <c r="G21" s="257"/>
      <c r="H21" s="258"/>
      <c r="I21" s="256"/>
      <c r="J21" s="256"/>
      <c r="K21" s="256"/>
      <c r="L21" s="256"/>
    </row>
    <row r="22" spans="1:12">
      <c r="A22" s="259" t="s">
        <v>265</v>
      </c>
      <c r="B22" s="260"/>
      <c r="C22" s="260"/>
      <c r="D22" s="260"/>
      <c r="E22" s="260"/>
      <c r="F22" s="260"/>
      <c r="G22" s="20"/>
      <c r="H22" s="108"/>
      <c r="I22" s="256"/>
      <c r="J22" s="256"/>
      <c r="K22" s="256"/>
      <c r="L22" s="256"/>
    </row>
    <row r="23" spans="1:12">
      <c r="A23" s="261"/>
      <c r="B23" s="107"/>
      <c r="C23" s="107"/>
      <c r="D23" s="107"/>
      <c r="E23" s="107"/>
      <c r="F23" s="107"/>
      <c r="G23" s="20"/>
      <c r="H23" s="256"/>
      <c r="I23" s="256"/>
      <c r="J23" s="256"/>
      <c r="K23" s="256"/>
      <c r="L23" s="256"/>
    </row>
    <row r="24" spans="1:12" ht="15.75">
      <c r="A24" s="262" t="s">
        <v>147</v>
      </c>
      <c r="B24" s="263"/>
      <c r="C24" s="263"/>
      <c r="D24" s="263"/>
      <c r="E24" s="263"/>
      <c r="F24" s="263"/>
      <c r="G24" s="31"/>
      <c r="H24" s="256"/>
      <c r="I24" s="256"/>
      <c r="J24" s="256"/>
      <c r="K24" s="256"/>
      <c r="L24" s="256"/>
    </row>
    <row r="25" spans="1:12">
      <c r="A25" s="264" t="s">
        <v>145</v>
      </c>
      <c r="B25" s="265" t="s">
        <v>200</v>
      </c>
      <c r="C25" s="265" t="s">
        <v>112</v>
      </c>
      <c r="D25" s="265" t="s">
        <v>113</v>
      </c>
      <c r="E25" s="265" t="s">
        <v>114</v>
      </c>
      <c r="F25" s="265" t="s">
        <v>115</v>
      </c>
      <c r="G25" s="31"/>
      <c r="H25" s="256"/>
      <c r="I25" s="256"/>
      <c r="J25" s="256"/>
      <c r="K25" s="256"/>
      <c r="L25" s="256"/>
    </row>
    <row r="26" spans="1:12">
      <c r="A26" s="265" t="s">
        <v>182</v>
      </c>
      <c r="B26" s="266">
        <v>180</v>
      </c>
      <c r="C26" s="266">
        <v>133</v>
      </c>
      <c r="D26" s="266">
        <v>149</v>
      </c>
      <c r="E26" s="266">
        <v>95</v>
      </c>
      <c r="F26" s="266">
        <v>103</v>
      </c>
      <c r="G26" s="31"/>
      <c r="H26" s="256"/>
      <c r="I26" s="256"/>
      <c r="J26" s="256"/>
      <c r="K26" s="256"/>
      <c r="L26" s="256"/>
    </row>
    <row r="27" spans="1:12">
      <c r="A27" s="265" t="s">
        <v>183</v>
      </c>
      <c r="B27" s="266">
        <v>128</v>
      </c>
      <c r="C27" s="266">
        <v>100</v>
      </c>
      <c r="D27" s="266">
        <v>80</v>
      </c>
      <c r="E27" s="266">
        <v>41</v>
      </c>
      <c r="F27" s="266">
        <v>69</v>
      </c>
      <c r="G27" s="31"/>
      <c r="H27" s="256"/>
      <c r="I27" s="256"/>
      <c r="J27" s="256"/>
      <c r="K27" s="256"/>
      <c r="L27" s="256"/>
    </row>
    <row r="28" spans="1:12">
      <c r="A28" s="265" t="s">
        <v>184</v>
      </c>
      <c r="B28" s="266">
        <v>102</v>
      </c>
      <c r="C28" s="266">
        <v>90</v>
      </c>
      <c r="D28" s="266">
        <v>45</v>
      </c>
      <c r="E28" s="266">
        <v>35</v>
      </c>
      <c r="F28" s="266">
        <v>45</v>
      </c>
      <c r="G28" s="31"/>
      <c r="H28" s="256"/>
      <c r="I28" s="256"/>
      <c r="J28" s="256"/>
      <c r="K28" s="256"/>
      <c r="L28" s="256"/>
    </row>
    <row r="29" spans="1:12">
      <c r="A29" s="265" t="s">
        <v>185</v>
      </c>
      <c r="B29" s="266">
        <v>67</v>
      </c>
      <c r="C29" s="266">
        <v>65</v>
      </c>
      <c r="D29" s="266">
        <v>45</v>
      </c>
      <c r="E29" s="266">
        <v>23</v>
      </c>
      <c r="F29" s="266">
        <v>23</v>
      </c>
      <c r="G29" s="31"/>
      <c r="H29" s="256"/>
      <c r="I29" s="256"/>
      <c r="J29" s="256"/>
      <c r="K29" s="256"/>
      <c r="L29" s="256"/>
    </row>
    <row r="30" spans="1:12">
      <c r="A30" s="267" t="s">
        <v>146</v>
      </c>
      <c r="B30" s="250"/>
      <c r="C30" s="250"/>
      <c r="D30" s="250"/>
      <c r="E30" s="250"/>
      <c r="F30" s="250"/>
      <c r="G30" s="31"/>
    </row>
  </sheetData>
  <sheetProtection algorithmName="SHA-512" hashValue="5EqIhNy9Meu4BmRnsMHKXyZ1UPo3NJqcrrV9mCvbKaLSft00HdIgvndsLEs4R6obFhrLdclZmtc7tmxO+W8w4w==" saltValue="/05kH5NC8zNvX3TnKFqM7Q==" spinCount="100000" sheet="1"/>
  <mergeCells count="1">
    <mergeCell ref="A21:F21"/>
  </mergeCells>
  <pageMargins left="0.7" right="0.7" top="0.75" bottom="0.75" header="0.3" footer="0.3"/>
  <pageSetup paperSize="17" scale="74" orientation="landscape" r:id="rId1"/>
  <ignoredErrors>
    <ignoredError sqref="L3:L1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I50"/>
  <sheetViews>
    <sheetView tabSelected="1" workbookViewId="0">
      <selection activeCell="B5" sqref="B5"/>
    </sheetView>
  </sheetViews>
  <sheetFormatPr defaultColWidth="9" defaultRowHeight="15"/>
  <cols>
    <col min="1" max="1" width="35.7109375" style="143" customWidth="1"/>
    <col min="2" max="2" width="15.7109375" style="143" customWidth="1"/>
    <col min="3" max="3" width="17.7109375" style="143" customWidth="1"/>
    <col min="4" max="4" width="13.85546875" style="143" customWidth="1"/>
    <col min="5" max="5" width="33.85546875" style="143" customWidth="1"/>
    <col min="6" max="6" width="9.85546875" style="143" customWidth="1"/>
    <col min="7" max="7" width="11.28515625" style="143" customWidth="1"/>
    <col min="8" max="8" width="13.7109375" style="143" customWidth="1"/>
    <col min="9" max="9" width="16.140625" style="143" customWidth="1"/>
    <col min="10" max="16384" width="9" style="143"/>
  </cols>
  <sheetData>
    <row r="1" spans="1:9">
      <c r="A1" s="268" t="s">
        <v>46</v>
      </c>
      <c r="B1" s="269" t="s">
        <v>38</v>
      </c>
      <c r="C1" s="270" t="s">
        <v>186</v>
      </c>
    </row>
    <row r="2" spans="1:9">
      <c r="A2" s="271" t="s">
        <v>31</v>
      </c>
      <c r="B2" s="272">
        <v>0.40799999999999997</v>
      </c>
      <c r="C2" s="273">
        <f t="shared" ref="C2:C9" si="0">B2*F$7</f>
        <v>0.18253400143164719</v>
      </c>
      <c r="E2" s="270" t="s">
        <v>20</v>
      </c>
      <c r="F2" s="272"/>
      <c r="G2" s="272"/>
      <c r="H2" s="272"/>
      <c r="I2" s="272"/>
    </row>
    <row r="3" spans="1:9" ht="18">
      <c r="A3" s="272" t="s">
        <v>30</v>
      </c>
      <c r="B3" s="272">
        <v>0.40799999999999997</v>
      </c>
      <c r="C3" s="273">
        <f t="shared" si="0"/>
        <v>0.18253400143164719</v>
      </c>
      <c r="E3" s="272">
        <v>2.9140000000000001</v>
      </c>
      <c r="F3" s="272" t="s">
        <v>82</v>
      </c>
      <c r="G3" s="272"/>
      <c r="H3" s="274" t="s">
        <v>268</v>
      </c>
      <c r="I3" s="272"/>
    </row>
    <row r="4" spans="1:9" ht="18">
      <c r="A4" s="272" t="s">
        <v>32</v>
      </c>
      <c r="B4" s="272">
        <v>0.40799999999999997</v>
      </c>
      <c r="C4" s="273">
        <f t="shared" si="0"/>
        <v>0.18253400143164719</v>
      </c>
      <c r="E4" s="273">
        <v>2.63</v>
      </c>
      <c r="F4" s="272" t="s">
        <v>82</v>
      </c>
      <c r="G4" s="272"/>
      <c r="H4" s="274" t="s">
        <v>269</v>
      </c>
      <c r="I4" s="272"/>
    </row>
    <row r="5" spans="1:9">
      <c r="A5" s="272" t="s">
        <v>33</v>
      </c>
      <c r="B5" s="272">
        <v>0.40799999999999997</v>
      </c>
      <c r="C5" s="273">
        <f t="shared" si="0"/>
        <v>0.18253400143164719</v>
      </c>
      <c r="E5" s="270" t="s">
        <v>125</v>
      </c>
      <c r="F5" s="272"/>
      <c r="G5" s="272"/>
      <c r="H5" s="272"/>
      <c r="I5" s="272"/>
    </row>
    <row r="6" spans="1:9">
      <c r="A6" s="272" t="s">
        <v>34</v>
      </c>
      <c r="B6" s="272">
        <v>0.40799999999999997</v>
      </c>
      <c r="C6" s="273">
        <f t="shared" si="0"/>
        <v>0.18253400143164719</v>
      </c>
      <c r="E6" s="272" t="s">
        <v>39</v>
      </c>
      <c r="F6" s="272">
        <v>0.74569987199999999</v>
      </c>
      <c r="G6" s="272" t="s">
        <v>40</v>
      </c>
      <c r="H6" s="272"/>
      <c r="I6" s="272"/>
    </row>
    <row r="7" spans="1:9">
      <c r="A7" s="272" t="s">
        <v>35</v>
      </c>
      <c r="B7" s="272">
        <v>0.36699999999999999</v>
      </c>
      <c r="C7" s="273">
        <f t="shared" si="0"/>
        <v>0.16419112383680029</v>
      </c>
      <c r="E7" s="272" t="s">
        <v>41</v>
      </c>
      <c r="F7" s="272">
        <v>0.44738725841089999</v>
      </c>
      <c r="G7" s="272" t="s">
        <v>42</v>
      </c>
      <c r="H7" s="272"/>
      <c r="I7" s="272"/>
    </row>
    <row r="8" spans="1:9">
      <c r="A8" s="272" t="s">
        <v>36</v>
      </c>
      <c r="B8" s="272">
        <v>0.36699999999999999</v>
      </c>
      <c r="C8" s="273">
        <f t="shared" si="0"/>
        <v>0.16419112383680029</v>
      </c>
      <c r="E8" s="272" t="s">
        <v>45</v>
      </c>
      <c r="F8" s="272">
        <v>0.84</v>
      </c>
      <c r="G8" s="272" t="s">
        <v>43</v>
      </c>
      <c r="H8" s="272"/>
      <c r="I8" s="272"/>
    </row>
    <row r="9" spans="1:9">
      <c r="A9" s="272" t="s">
        <v>37</v>
      </c>
      <c r="B9" s="272">
        <v>0.36699999999999999</v>
      </c>
      <c r="C9" s="273">
        <f t="shared" si="0"/>
        <v>0.16419112383680029</v>
      </c>
      <c r="E9" s="272" t="s">
        <v>44</v>
      </c>
      <c r="F9" s="272">
        <f>1/F8</f>
        <v>1.1904761904761905</v>
      </c>
      <c r="G9" s="272" t="s">
        <v>2</v>
      </c>
      <c r="H9" s="272"/>
      <c r="I9" s="272"/>
    </row>
    <row r="10" spans="1:9">
      <c r="E10" s="272" t="s">
        <v>120</v>
      </c>
      <c r="F10" s="272"/>
      <c r="G10" s="272"/>
      <c r="H10" s="272">
        <v>1.8</v>
      </c>
      <c r="I10" s="272" t="s">
        <v>121</v>
      </c>
    </row>
    <row r="11" spans="1:9" ht="15.75" thickBot="1"/>
    <row r="12" spans="1:9">
      <c r="A12" s="275" t="s">
        <v>9</v>
      </c>
      <c r="B12" s="276"/>
      <c r="C12" s="276"/>
      <c r="D12" s="276"/>
      <c r="E12" s="276"/>
      <c r="F12" s="276"/>
      <c r="G12" s="276"/>
      <c r="H12" s="277"/>
    </row>
    <row r="13" spans="1:9" ht="17.25">
      <c r="A13" s="278" t="s">
        <v>9</v>
      </c>
      <c r="B13" s="279" t="s">
        <v>10</v>
      </c>
      <c r="C13" s="279" t="s">
        <v>11</v>
      </c>
      <c r="D13" s="280"/>
      <c r="E13" s="281" t="s">
        <v>12</v>
      </c>
      <c r="F13" s="280"/>
      <c r="G13" s="282" t="s">
        <v>126</v>
      </c>
      <c r="H13" s="281" t="s">
        <v>13</v>
      </c>
    </row>
    <row r="14" spans="1:9">
      <c r="A14" s="283" t="s">
        <v>14</v>
      </c>
      <c r="B14" s="284">
        <v>0.25</v>
      </c>
      <c r="C14" s="285">
        <v>0.56999999999999995</v>
      </c>
      <c r="D14" s="286" t="s">
        <v>15</v>
      </c>
      <c r="E14" s="287">
        <v>15</v>
      </c>
      <c r="F14" s="286" t="s">
        <v>16</v>
      </c>
      <c r="G14" s="288">
        <v>7.5</v>
      </c>
      <c r="H14" s="289" t="s">
        <v>123</v>
      </c>
    </row>
    <row r="15" spans="1:9">
      <c r="A15" s="283" t="s">
        <v>17</v>
      </c>
      <c r="B15" s="290">
        <v>0.5</v>
      </c>
      <c r="C15" s="285">
        <v>0.8</v>
      </c>
      <c r="D15" s="286" t="s">
        <v>15</v>
      </c>
      <c r="E15" s="287">
        <v>35</v>
      </c>
      <c r="F15" s="286" t="s">
        <v>16</v>
      </c>
      <c r="G15" s="288">
        <f>E15/H$10</f>
        <v>19.444444444444443</v>
      </c>
      <c r="H15" s="289" t="s">
        <v>123</v>
      </c>
    </row>
    <row r="16" spans="1:9" ht="15.75" thickBot="1">
      <c r="A16" s="291" t="s">
        <v>18</v>
      </c>
      <c r="B16" s="292">
        <v>0.6</v>
      </c>
      <c r="C16" s="293">
        <v>0.85</v>
      </c>
      <c r="D16" s="294" t="s">
        <v>15</v>
      </c>
      <c r="E16" s="295">
        <v>28000</v>
      </c>
      <c r="F16" s="294" t="s">
        <v>19</v>
      </c>
      <c r="G16" s="296"/>
      <c r="H16" s="297"/>
    </row>
    <row r="17" spans="1:9">
      <c r="A17" s="5"/>
      <c r="B17" s="5"/>
      <c r="C17" s="5"/>
      <c r="D17" s="5"/>
      <c r="E17" s="5"/>
      <c r="F17" s="5"/>
      <c r="G17" s="31"/>
      <c r="H17" s="5"/>
    </row>
    <row r="18" spans="1:9">
      <c r="A18" s="298" t="s">
        <v>310</v>
      </c>
      <c r="B18" s="5"/>
      <c r="C18" s="5"/>
      <c r="D18" s="5"/>
      <c r="F18" s="5"/>
      <c r="G18" s="5"/>
      <c r="H18" s="5"/>
    </row>
    <row r="19" spans="1:9">
      <c r="A19" s="299" t="s">
        <v>51</v>
      </c>
    </row>
    <row r="20" spans="1:9" ht="15.75" thickBot="1"/>
    <row r="21" spans="1:9" ht="45">
      <c r="A21" s="300" t="s">
        <v>54</v>
      </c>
      <c r="B21" s="301" t="s">
        <v>105</v>
      </c>
      <c r="C21" s="5"/>
      <c r="D21" s="302" t="s">
        <v>56</v>
      </c>
      <c r="E21" s="302" t="s">
        <v>117</v>
      </c>
      <c r="G21" s="402" t="s">
        <v>235</v>
      </c>
      <c r="H21" s="403"/>
      <c r="I21" s="403"/>
    </row>
    <row r="22" spans="1:9" ht="15.75">
      <c r="A22" s="303" t="s">
        <v>77</v>
      </c>
      <c r="B22" s="360">
        <f>Category1_Emis_perRun</f>
        <v>141.84108804581868</v>
      </c>
      <c r="C22" s="5"/>
      <c r="D22" s="304" t="s">
        <v>57</v>
      </c>
      <c r="E22" s="304" t="s">
        <v>200</v>
      </c>
      <c r="G22" s="305" t="s">
        <v>228</v>
      </c>
      <c r="H22" s="305" t="s">
        <v>232</v>
      </c>
      <c r="I22" s="305" t="s">
        <v>233</v>
      </c>
    </row>
    <row r="23" spans="1:9" ht="15.75">
      <c r="A23" s="303" t="s">
        <v>62</v>
      </c>
      <c r="B23" s="360">
        <f>Category4_Emis_perRun</f>
        <v>3570.657278255549</v>
      </c>
      <c r="C23" s="5"/>
      <c r="D23" s="304" t="s">
        <v>58</v>
      </c>
      <c r="E23" s="304" t="s">
        <v>112</v>
      </c>
      <c r="G23" s="306" t="s">
        <v>229</v>
      </c>
      <c r="H23" s="307">
        <v>0.59</v>
      </c>
      <c r="I23" s="308" t="s">
        <v>21</v>
      </c>
    </row>
    <row r="24" spans="1:9" ht="15.75">
      <c r="A24" s="303" t="s">
        <v>53</v>
      </c>
      <c r="B24" s="360">
        <f>IM_Emis_Mach</f>
        <v>2111.3031636718315</v>
      </c>
      <c r="E24" s="304" t="s">
        <v>113</v>
      </c>
      <c r="G24" s="306" t="s">
        <v>230</v>
      </c>
      <c r="H24" s="307">
        <v>0.21</v>
      </c>
      <c r="I24" s="308" t="s">
        <v>236</v>
      </c>
    </row>
    <row r="25" spans="1:9" ht="27.4" customHeight="1">
      <c r="A25" s="303" t="s">
        <v>154</v>
      </c>
      <c r="B25" s="360">
        <f>PR_Emis_Mach</f>
        <v>4505.0825540115056</v>
      </c>
      <c r="D25" s="302" t="s">
        <v>122</v>
      </c>
      <c r="E25" s="304" t="s">
        <v>114</v>
      </c>
      <c r="G25" s="306" t="s">
        <v>231</v>
      </c>
      <c r="H25" s="307">
        <v>0.43</v>
      </c>
      <c r="I25" s="308" t="s">
        <v>234</v>
      </c>
    </row>
    <row r="26" spans="1:9" ht="15.75">
      <c r="A26" s="303" t="s">
        <v>148</v>
      </c>
      <c r="B26" s="360">
        <f>PJ_Emis_Mach</f>
        <v>9674.1007858870362</v>
      </c>
      <c r="D26" s="309">
        <v>50</v>
      </c>
      <c r="E26" s="310" t="s">
        <v>115</v>
      </c>
    </row>
    <row r="27" spans="1:9" ht="15.75">
      <c r="A27" s="303" t="s">
        <v>60</v>
      </c>
      <c r="B27" s="360">
        <f>Boring_Emis_Mach</f>
        <v>9235.7968664559576</v>
      </c>
      <c r="D27" s="309">
        <v>100</v>
      </c>
      <c r="E27" s="5"/>
    </row>
    <row r="28" spans="1:9" ht="15.75">
      <c r="A28" s="303" t="s">
        <v>64</v>
      </c>
      <c r="B28" s="360">
        <f>Boring_Emis_Mach</f>
        <v>9235.7968664559576</v>
      </c>
      <c r="D28" s="309">
        <v>150</v>
      </c>
      <c r="E28" s="5"/>
    </row>
    <row r="29" spans="1:9" ht="15.75">
      <c r="A29" s="303" t="s">
        <v>61</v>
      </c>
      <c r="B29" s="360">
        <f>Category3_Emis_perRun</f>
        <v>1318.4843057402493</v>
      </c>
      <c r="D29" s="309">
        <v>200</v>
      </c>
      <c r="E29" s="5"/>
    </row>
    <row r="30" spans="1:9" ht="15.75">
      <c r="A30" s="303" t="s">
        <v>63</v>
      </c>
      <c r="B30" s="360">
        <f>HDD_Emis_Mach</f>
        <v>3104.9554481727705</v>
      </c>
      <c r="D30" s="309">
        <v>250</v>
      </c>
      <c r="E30" s="5"/>
    </row>
    <row r="31" spans="1:9" ht="15.75">
      <c r="A31" s="303" t="s">
        <v>132</v>
      </c>
      <c r="B31" s="360">
        <f>Swage_Emis_Mach</f>
        <v>662.14601092923249</v>
      </c>
      <c r="C31" s="107"/>
      <c r="D31" s="309">
        <v>300</v>
      </c>
      <c r="E31" s="108"/>
    </row>
    <row r="32" spans="1:9" ht="15.75">
      <c r="A32" s="311" t="s">
        <v>133</v>
      </c>
      <c r="B32" s="360">
        <f>MT_Emis_Mach</f>
        <v>12039.018380531501</v>
      </c>
      <c r="C32" s="5"/>
      <c r="D32" s="309">
        <v>350</v>
      </c>
      <c r="E32" s="5"/>
    </row>
    <row r="33" spans="1:6" ht="15.75">
      <c r="A33" s="311" t="s">
        <v>167</v>
      </c>
      <c r="B33" s="360">
        <f>BoxJ_Emis_Mach</f>
        <v>39317.084107736773</v>
      </c>
      <c r="C33" s="5"/>
      <c r="D33" s="309">
        <v>400</v>
      </c>
      <c r="E33" s="5"/>
    </row>
    <row r="34" spans="1:6" ht="30">
      <c r="A34" s="5"/>
      <c r="B34" s="5"/>
      <c r="C34" s="5"/>
      <c r="D34" s="309">
        <v>450</v>
      </c>
      <c r="E34" s="5"/>
      <c r="F34" s="302" t="s">
        <v>271</v>
      </c>
    </row>
    <row r="35" spans="1:6">
      <c r="A35" s="5"/>
      <c r="B35" s="5"/>
      <c r="C35" s="5"/>
      <c r="D35" s="309">
        <v>500</v>
      </c>
      <c r="E35" s="5"/>
      <c r="F35" s="304" t="s">
        <v>272</v>
      </c>
    </row>
    <row r="36" spans="1:6">
      <c r="A36" s="5"/>
      <c r="B36" s="5"/>
      <c r="C36" s="5"/>
      <c r="D36" s="309">
        <v>600</v>
      </c>
      <c r="E36" s="5"/>
      <c r="F36" s="304" t="s">
        <v>273</v>
      </c>
    </row>
    <row r="37" spans="1:6">
      <c r="A37" s="5"/>
      <c r="B37" s="5"/>
      <c r="C37" s="5"/>
      <c r="D37" s="309">
        <v>700</v>
      </c>
      <c r="E37" s="5"/>
      <c r="F37" s="304" t="s">
        <v>274</v>
      </c>
    </row>
    <row r="38" spans="1:6">
      <c r="A38" s="5"/>
      <c r="B38" s="5"/>
      <c r="C38" s="5"/>
      <c r="D38" s="309">
        <v>800</v>
      </c>
      <c r="E38" s="5"/>
      <c r="F38" s="304" t="s">
        <v>275</v>
      </c>
    </row>
    <row r="39" spans="1:6">
      <c r="A39" s="5"/>
      <c r="B39" s="5"/>
      <c r="C39" s="5"/>
      <c r="D39" s="309">
        <v>900</v>
      </c>
      <c r="E39" s="5"/>
      <c r="F39" s="304" t="s">
        <v>276</v>
      </c>
    </row>
    <row r="40" spans="1:6">
      <c r="A40" s="83"/>
      <c r="B40" s="5"/>
      <c r="C40" s="5"/>
      <c r="D40" s="309">
        <v>1000</v>
      </c>
      <c r="E40" s="5"/>
    </row>
    <row r="41" spans="1:6">
      <c r="A41" s="19"/>
      <c r="B41" s="5"/>
      <c r="C41" s="5"/>
      <c r="D41" s="309">
        <v>1100</v>
      </c>
      <c r="E41" s="5"/>
    </row>
    <row r="42" spans="1:6">
      <c r="A42" s="110"/>
      <c r="B42" s="5"/>
      <c r="C42" s="5"/>
      <c r="D42" s="309">
        <v>1200</v>
      </c>
      <c r="E42" s="5"/>
    </row>
    <row r="43" spans="1:6">
      <c r="D43" s="309">
        <v>1300</v>
      </c>
    </row>
    <row r="44" spans="1:6">
      <c r="D44" s="309">
        <v>1400</v>
      </c>
    </row>
    <row r="45" spans="1:6">
      <c r="D45" s="309">
        <v>1500</v>
      </c>
    </row>
    <row r="46" spans="1:6">
      <c r="D46" s="309">
        <v>1600</v>
      </c>
    </row>
    <row r="47" spans="1:6">
      <c r="D47" s="309">
        <v>1700</v>
      </c>
    </row>
    <row r="48" spans="1:6">
      <c r="D48" s="309">
        <v>1800</v>
      </c>
    </row>
    <row r="49" spans="4:4">
      <c r="D49" s="309">
        <v>1900</v>
      </c>
    </row>
    <row r="50" spans="4:4">
      <c r="D50" s="309">
        <v>2000</v>
      </c>
    </row>
  </sheetData>
  <sheetProtection algorithmName="SHA-512" hashValue="bTj6zul6Mtgm9l8Cis7zgujhHE1/8k5smAaXdbtyaPZ+jRSS1M7D8B1ZtCSsj/8db7G/Wxc79y8l3Mag+WiCCg==" saltValue="E9w15HOBlaGvrFwNL7rrrQ==" spinCount="100000" sheet="1" selectLockedCells="1"/>
  <mergeCells count="1">
    <mergeCell ref="G21:I21"/>
  </mergeCells>
  <hyperlinks>
    <hyperlink ref="B1" r:id="rId1" display="BSFC" xr:uid="{00000000-0004-0000-0400-000000000000}"/>
    <hyperlink ref="A19" r:id="rId2" xr:uid="{00000000-0004-0000-0400-000001000000}"/>
  </hyperlinks>
  <pageMargins left="0.7" right="0.7" top="0.75" bottom="0.75" header="0.3" footer="0.3"/>
  <pageSetup paperSize="17" scale="85"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tem_x0020_number xmlns="5a67a745-2716-44cf-9715-ea35a50b39f5">8490</item_x0020_numb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Approvals Document" ma:contentTypeID="0x0101002B8F1E08DD0FAC4689DF2865F653F93E006340F4BC320A414298DE66F789C8542E" ma:contentTypeVersion="1" ma:contentTypeDescription="" ma:contentTypeScope="" ma:versionID="cfd8b2c9e894723803fb0ba281c0ca23">
  <xsd:schema xmlns:xsd="http://www.w3.org/2001/XMLSchema" xmlns:xs="http://www.w3.org/2001/XMLSchema" xmlns:p="http://schemas.microsoft.com/office/2006/metadata/properties" xmlns:ns2="5a67a745-2716-44cf-9715-ea35a50b39f5" targetNamespace="http://schemas.microsoft.com/office/2006/metadata/properties" ma:root="true" ma:fieldsID="be25c3cbc0f86420d26f533b0614cae2" ns2:_="">
    <xsd:import namespace="5a67a745-2716-44cf-9715-ea35a50b39f5"/>
    <xsd:element name="properties">
      <xsd:complexType>
        <xsd:sequence>
          <xsd:element name="documentManagement">
            <xsd:complexType>
              <xsd:all>
                <xsd:element ref="ns2:item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7a745-2716-44cf-9715-ea35a50b39f5" elementFormDefault="qualified">
    <xsd:import namespace="http://schemas.microsoft.com/office/2006/documentManagement/types"/>
    <xsd:import namespace="http://schemas.microsoft.com/office/infopath/2007/PartnerControls"/>
    <xsd:element name="item_x0020_number" ma:index="8" nillable="true" ma:displayName="Item Number DS" ma:hidden="true" ma:internalName="item_x0020_number"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E21C0F-D7B4-4301-90BA-AAD407676C46}">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5a67a745-2716-44cf-9715-ea35a50b39f5"/>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AEF6CBF-69B5-4173-8E45-47F51F8F5B1A}">
  <ds:schemaRefs>
    <ds:schemaRef ds:uri="http://schemas.microsoft.com/sharepoint/v3/contenttype/forms"/>
  </ds:schemaRefs>
</ds:datastoreItem>
</file>

<file path=customXml/itemProps3.xml><?xml version="1.0" encoding="utf-8"?>
<ds:datastoreItem xmlns:ds="http://schemas.openxmlformats.org/officeDocument/2006/customXml" ds:itemID="{ACE4EC52-20EC-426A-8143-23B63897C7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67a745-2716-44cf-9715-ea35a50b39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140</vt:i4>
      </vt:variant>
    </vt:vector>
  </HeadingPairs>
  <TitlesOfParts>
    <vt:vector size="145" baseType="lpstr">
      <vt:lpstr>Inputs </vt:lpstr>
      <vt:lpstr>Outputs</vt:lpstr>
      <vt:lpstr>Machinery</vt:lpstr>
      <vt:lpstr>Productivity</vt:lpstr>
      <vt:lpstr>Emission and Conversion Factors</vt:lpstr>
      <vt:lpstr>AB_prod</vt:lpstr>
      <vt:lpstr>AllPits_Excv_Vol_m3</vt:lpstr>
      <vt:lpstr>Auger_Prod</vt:lpstr>
      <vt:lpstr>Boring_Emis_Mach</vt:lpstr>
      <vt:lpstr>Box_Jacking</vt:lpstr>
      <vt:lpstr>BoxJ_Emis_Mach</vt:lpstr>
      <vt:lpstr>BoxJ_prod</vt:lpstr>
      <vt:lpstr>BoxJack_Prod</vt:lpstr>
      <vt:lpstr>Category1_Emis_perRun</vt:lpstr>
      <vt:lpstr>Category2_Emis_perRun</vt:lpstr>
      <vt:lpstr>Category3_Emis_perRun</vt:lpstr>
      <vt:lpstr>Category4_Emis_perRun</vt:lpstr>
      <vt:lpstr>CIPP_Emis_Mach</vt:lpstr>
      <vt:lpstr>CIPP_prod</vt:lpstr>
      <vt:lpstr>CIPP_Produc</vt:lpstr>
      <vt:lpstr>Cured_in_Place_Pipe_Lining__CIPP</vt:lpstr>
      <vt:lpstr>DeWater_Emis_PerHr</vt:lpstr>
      <vt:lpstr>Diesel_Emis_Factor</vt:lpstr>
      <vt:lpstr>Diesel_Truck_Emis_Factor</vt:lpstr>
      <vt:lpstr>Dry_Soil</vt:lpstr>
      <vt:lpstr>EnP_Depth</vt:lpstr>
      <vt:lpstr>EnP_Length</vt:lpstr>
      <vt:lpstr>EnP_Lengths</vt:lpstr>
      <vt:lpstr>EnP_Width</vt:lpstr>
      <vt:lpstr>ExP_Depth</vt:lpstr>
      <vt:lpstr>ExP_Length</vt:lpstr>
      <vt:lpstr>ExP_Lengths</vt:lpstr>
      <vt:lpstr>ExP_Width</vt:lpstr>
      <vt:lpstr>ExPit_Length</vt:lpstr>
      <vt:lpstr>FuelPerHpHR</vt:lpstr>
      <vt:lpstr>FuelPerHpHR2</vt:lpstr>
      <vt:lpstr>Guided_Boring_System</vt:lpstr>
      <vt:lpstr>Haul_Distance</vt:lpstr>
      <vt:lpstr>Hauling_Distance_km</vt:lpstr>
      <vt:lpstr>HDD_Emis_Mach</vt:lpstr>
      <vt:lpstr>HDD_PROduc</vt:lpstr>
      <vt:lpstr>Horizontal_Auger_Boring</vt:lpstr>
      <vt:lpstr>Horizontal_Directional_Drilling__HDD</vt:lpstr>
      <vt:lpstr>IM_Emis_Mach</vt:lpstr>
      <vt:lpstr>IM_prod</vt:lpstr>
      <vt:lpstr>Impact_Mole</vt:lpstr>
      <vt:lpstr>ImpactM_Prod</vt:lpstr>
      <vt:lpstr>Jacking_Prod</vt:lpstr>
      <vt:lpstr>KgPerLitre_Diesel</vt:lpstr>
      <vt:lpstr>KwPerHP</vt:lpstr>
      <vt:lpstr>LC_Depth</vt:lpstr>
      <vt:lpstr>LC_Excv_Vol</vt:lpstr>
      <vt:lpstr>LC_Length</vt:lpstr>
      <vt:lpstr>LC_Length_Far</vt:lpstr>
      <vt:lpstr>LC_Length_FarSide</vt:lpstr>
      <vt:lpstr>LC_Width</vt:lpstr>
      <vt:lpstr>Light_Soil</vt:lpstr>
      <vt:lpstr>LitrePerKg_Diesel</vt:lpstr>
      <vt:lpstr>Mach_Excv_Emis_PerHr</vt:lpstr>
      <vt:lpstr>meters_length_per_8hr_day</vt:lpstr>
      <vt:lpstr>Micro_Prod</vt:lpstr>
      <vt:lpstr>Micro_Tunneling</vt:lpstr>
      <vt:lpstr>MT_Emis_Mach</vt:lpstr>
      <vt:lpstr>MT_prod</vt:lpstr>
      <vt:lpstr>No_EntryPits</vt:lpstr>
      <vt:lpstr>No_ExitPits</vt:lpstr>
      <vt:lpstr>No_Lateral_Connections</vt:lpstr>
      <vt:lpstr>No_Lateral_Connections_Far_Side</vt:lpstr>
      <vt:lpstr>No_Manholes</vt:lpstr>
      <vt:lpstr>No_Runs</vt:lpstr>
      <vt:lpstr>No_Service_pits_manholes</vt:lpstr>
      <vt:lpstr>OC_CrossSection_ADJ</vt:lpstr>
      <vt:lpstr>OC_CrossSection_m2</vt:lpstr>
      <vt:lpstr>OC_Excv_Time_hrs</vt:lpstr>
      <vt:lpstr>OC_Excv_Vol_m3</vt:lpstr>
      <vt:lpstr>OC_Haul_Emis</vt:lpstr>
      <vt:lpstr>OC_Mach_Emis</vt:lpstr>
      <vt:lpstr>OC_No_ReturnTrips</vt:lpstr>
      <vt:lpstr>OC_No_TRIPS</vt:lpstr>
      <vt:lpstr>OC_Produc_mPer10Hr</vt:lpstr>
      <vt:lpstr>OC_Total_Emis</vt:lpstr>
      <vt:lpstr>Open_cut_no._of_trips</vt:lpstr>
      <vt:lpstr>OpenCut_No_Trips</vt:lpstr>
      <vt:lpstr>PB_Emis_Mach</vt:lpstr>
      <vt:lpstr>PB_Mach_emis</vt:lpstr>
      <vt:lpstr>pb_Mach_Emission</vt:lpstr>
      <vt:lpstr>PB_Machi_Emis</vt:lpstr>
      <vt:lpstr>PB_prod</vt:lpstr>
      <vt:lpstr>Pburst_Mach_Emis</vt:lpstr>
      <vt:lpstr>PBurst_Prod</vt:lpstr>
      <vt:lpstr>Pipe_Bursting</vt:lpstr>
      <vt:lpstr>Pipe_Diameter_Drop_down</vt:lpstr>
      <vt:lpstr>Pipe_Diameter_m</vt:lpstr>
      <vt:lpstr>Pipe_Jacking</vt:lpstr>
      <vt:lpstr>Pipe_Length</vt:lpstr>
      <vt:lpstr>Pipe_Ramming</vt:lpstr>
      <vt:lpstr>PJ_Emis_Mach</vt:lpstr>
      <vt:lpstr>PR_Emis_Mach</vt:lpstr>
      <vt:lpstr>PR_prod</vt:lpstr>
      <vt:lpstr>Prcntg_Soil_reused</vt:lpstr>
      <vt:lpstr>'Inputs '!Print_Area</vt:lpstr>
      <vt:lpstr>Productivity_mPer10HrDay</vt:lpstr>
      <vt:lpstr>Ram_Prod</vt:lpstr>
      <vt:lpstr>SL_prod</vt:lpstr>
      <vt:lpstr>Slip_Lining</vt:lpstr>
      <vt:lpstr>SlipL_Emis_Mach</vt:lpstr>
      <vt:lpstr>SlipL_prod</vt:lpstr>
      <vt:lpstr>SlipLin_Prod</vt:lpstr>
      <vt:lpstr>Soil_Type</vt:lpstr>
      <vt:lpstr>Soil_Type_dropdown</vt:lpstr>
      <vt:lpstr>SP_Depth</vt:lpstr>
      <vt:lpstr>SP_Length</vt:lpstr>
      <vt:lpstr>SP_Width</vt:lpstr>
      <vt:lpstr>Surface_conditions</vt:lpstr>
      <vt:lpstr>Surface_Conditions_Dropdown</vt:lpstr>
      <vt:lpstr>Swage_Emis_Mach</vt:lpstr>
      <vt:lpstr>Swage_prod</vt:lpstr>
      <vt:lpstr>SwageLin_Prod</vt:lpstr>
      <vt:lpstr>SwageLining</vt:lpstr>
      <vt:lpstr>SwL_prod</vt:lpstr>
      <vt:lpstr>Total_TT_Length</vt:lpstr>
      <vt:lpstr>TR_Excv_Time_hrs</vt:lpstr>
      <vt:lpstr>TR_Excv_Vol</vt:lpstr>
      <vt:lpstr>TR_Haul_Emis</vt:lpstr>
      <vt:lpstr>TR_Mach_Emis</vt:lpstr>
      <vt:lpstr>TR_No_Return_Trips</vt:lpstr>
      <vt:lpstr>TR_No_Trips</vt:lpstr>
      <vt:lpstr>Trench_Depth</vt:lpstr>
      <vt:lpstr>trench_width_low</vt:lpstr>
      <vt:lpstr>trench_width_up</vt:lpstr>
      <vt:lpstr>Trenchless_Tech</vt:lpstr>
      <vt:lpstr>TrenchlessTechnology</vt:lpstr>
      <vt:lpstr>Truck_Capacity_m3</vt:lpstr>
      <vt:lpstr>Truck15T_FE_Empty</vt:lpstr>
      <vt:lpstr>Truck15T_FE_Full</vt:lpstr>
      <vt:lpstr>Truck15T_Vol</vt:lpstr>
      <vt:lpstr>Truck35T_FE_Empty</vt:lpstr>
      <vt:lpstr>Truck35T_FE_Full</vt:lpstr>
      <vt:lpstr>Truck35T_Vol</vt:lpstr>
      <vt:lpstr>TT_EXCV_CrossSection</vt:lpstr>
      <vt:lpstr>TT_EXCV_m_Length_per_8hrDay</vt:lpstr>
      <vt:lpstr>User_Prodctivity_m_per_8hr_day</vt:lpstr>
      <vt:lpstr>User_Productivity_m_per_10hr_day</vt:lpstr>
      <vt:lpstr>User_Productivity_m_per_8hr_day</vt:lpstr>
      <vt:lpstr>User_productivity_per8hrday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2020-05-06T18:40:13Z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0x0101002B8F1E08DD0FAC4689DF2865F653F93E006340F4BC320A414298DE66F789C8542E</vt:lpwstr>
  </property>
</Properties>
</file>